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 sheetId="1" r:id="rId3"/>
    <sheet state="visible" name="Racks" sheetId="2" r:id="rId4"/>
    <sheet state="visible" name="IR Rack Power" sheetId="3" r:id="rId5"/>
    <sheet state="visible" name="DAQ Rack Power" sheetId="4" r:id="rId6"/>
    <sheet state="visible" name="DAQ" sheetId="5" r:id="rId7"/>
    <sheet state="visible" name="Outer HCAL" sheetId="6" r:id="rId8"/>
    <sheet state="visible" name="Inner HCAL" sheetId="7" r:id="rId9"/>
    <sheet state="visible" name="EMCAL" sheetId="8" r:id="rId10"/>
    <sheet state="visible" name="TPC" sheetId="9" r:id="rId11"/>
    <sheet state="visible" name="INTT" sheetId="10" r:id="rId12"/>
    <sheet state="visible" name="MVTX" sheetId="11" r:id="rId13"/>
    <sheet state="visible" name="MBD" sheetId="12" r:id="rId14"/>
    <sheet state="hidden" name="Lists" sheetId="13" r:id="rId15"/>
    <sheet state="visible" name="Cable Cut Sheets" sheetId="14" r:id="rId16"/>
  </sheets>
  <definedNames/>
  <calcPr/>
</workbook>
</file>

<file path=xl/comments1.xml><?xml version="1.0" encoding="utf-8"?>
<comments xmlns:r="http://schemas.openxmlformats.org/officeDocument/2006/relationships" xmlns="http://schemas.openxmlformats.org/spreadsheetml/2006/main">
  <authors>
    <author/>
  </authors>
  <commentList>
    <comment authorId="0" ref="F55">
      <text>
        <t xml:space="preserve">Requested by TPC for possible HV system upgrade
	-Peter Hamblen</t>
      </text>
    </comment>
    <comment authorId="0" ref="F58">
      <text>
        <t xml:space="preserve">Additional rack reserved by MBD per email.
	-Peter Hamblen</t>
      </text>
    </comment>
    <comment authorId="0" ref="F56">
      <text>
        <t xml:space="preserve">Additional HCAL rack assigned per E. Mannel
	-Peter Hamblen</t>
      </text>
    </comment>
  </commentList>
</comments>
</file>

<file path=xl/comments2.xml><?xml version="1.0" encoding="utf-8"?>
<comments xmlns:r="http://schemas.openxmlformats.org/officeDocument/2006/relationships" xmlns="http://schemas.openxmlformats.org/spreadsheetml/2006/main">
  <authors>
    <author/>
  </authors>
  <commentList>
    <comment authorId="0" ref="D11">
      <text>
        <t xml:space="preserve">MVTX equipment in this rack is being powered by 2E3, i.e. the load of 2E3 incorporates the load of 2E3 &amp; 2E1. MVTX has also requested convenience receptacles close in proximity to the racks for test equipment. All the above per MVTX rack power requirements meeting on 5/4/20.
	-Peter Hamblen</t>
      </text>
    </comment>
    <comment authorId="0" ref="D13">
      <text>
        <t xml:space="preserve">1.5kW per MVTX power requirements meeting on 5/4/20.
	-Peter Hamblen
Changed from 1.5kW to 2.3kW per MVTX power requirements meeting on 5/11/20.
	-Peter Hamblen</t>
      </text>
    </comment>
    <comment authorId="0" ref="D19">
      <text>
        <t xml:space="preserve">Changed from 2kW to 5.7kW per INTT racks power requirements meeting on 5/4/20.
	-Peter Hamblen</t>
      </text>
    </comment>
    <comment authorId="0" ref="D17">
      <text>
        <t xml:space="preserve">Changed from 2kW to 5.7kW per INTT racks power requirements meeting on 5/4/20.
	-Peter Hamblen</t>
      </text>
    </comment>
  </commentList>
</comments>
</file>

<file path=xl/comments3.xml><?xml version="1.0" encoding="utf-8"?>
<comments xmlns:r="http://schemas.openxmlformats.org/officeDocument/2006/relationships" xmlns="http://schemas.openxmlformats.org/spreadsheetml/2006/main">
  <authors>
    <author/>
  </authors>
  <commentList>
    <comment authorId="0" ref="Q7">
      <text>
        <t xml:space="preserve">"Circuit Characteristics" table added for cable routing purposes
	-Peter Hamblen</t>
      </text>
    </comment>
    <comment authorId="0" ref="M9">
      <text>
        <t xml:space="preserve">Column added for NRTL listed identifier
	-Peter Hamblen</t>
      </text>
    </comment>
    <comment authorId="0" ref="L9">
      <text>
        <t xml:space="preserve">Column added for part numbers
	-Peter Hamblen</t>
      </text>
    </comment>
    <comment authorId="0" ref="C33">
      <text>
        <t xml:space="preserve">Added per E. Mannel.
	-Peter Hamblen</t>
      </text>
    </comment>
    <comment authorId="0" ref="C32">
      <text>
        <t xml:space="preserve">Added per E. Mannel.
	-Peter Hamblen</t>
      </text>
    </comment>
    <comment authorId="0" ref="C17">
      <text>
        <t xml:space="preserve">Added per E. Mannel.
	-Peter Hamblen</t>
      </text>
    </comment>
  </commentList>
</comments>
</file>

<file path=xl/comments4.xml><?xml version="1.0" encoding="utf-8"?>
<comments xmlns:r="http://schemas.openxmlformats.org/officeDocument/2006/relationships" xmlns="http://schemas.openxmlformats.org/spreadsheetml/2006/main">
  <authors>
    <author/>
  </authors>
  <commentList>
    <comment authorId="0" ref="C33">
      <text>
        <t xml:space="preserve">Added per E. Mannel.
	-Peter Hamblen</t>
      </text>
    </comment>
    <comment authorId="0" ref="C17">
      <text>
        <t xml:space="preserve">Added per conversation with E. Mannel.
	-Peter Hamblen</t>
      </text>
    </comment>
    <comment authorId="0" ref="C32">
      <text>
        <t xml:space="preserve">Added per E. Mannel.
	-Peter Hamblen</t>
      </text>
    </comment>
  </commentList>
</comments>
</file>

<file path=xl/comments5.xml><?xml version="1.0" encoding="utf-8"?>
<comments xmlns:r="http://schemas.openxmlformats.org/officeDocument/2006/relationships" xmlns="http://schemas.openxmlformats.org/spreadsheetml/2006/main">
  <authors>
    <author/>
  </authors>
  <commentList>
    <comment authorId="0" ref="G48">
      <text>
        <t xml:space="preserve">Corrected from "3A4" to "3A5" per S. Boose &amp; E. Mannel
	-Peter Hamblen</t>
      </text>
    </comment>
    <comment authorId="0" ref="G47">
      <text>
        <t xml:space="preserve">Corrected from "3A3" to "3A2" per S. Boose &amp; E. Mannel
	-Peter Hamblen</t>
      </text>
    </comment>
    <comment authorId="0" ref="G44">
      <text>
        <t xml:space="preserve">Corrected from 3A4 to 3A5 per D. Cacace
	-Peter Hamblen</t>
      </text>
    </comment>
    <comment authorId="0" ref="G43">
      <text>
        <t xml:space="preserve">Corrected from "3A3" to "3A2" per D. Cacace.
	-Peter Hamblen</t>
      </text>
    </comment>
  </commentList>
</comments>
</file>

<file path=xl/comments6.xml><?xml version="1.0" encoding="utf-8"?>
<comments xmlns:r="http://schemas.openxmlformats.org/officeDocument/2006/relationships" xmlns="http://schemas.openxmlformats.org/spreadsheetml/2006/main">
  <authors>
    <author/>
  </authors>
  <commentList>
    <comment authorId="0" ref="F40">
      <text>
        <t xml:space="preserve">Text changed from 3B4 to 3B5 to match assignment in "Racks" tab this document.
	-Peter Hamblen</t>
      </text>
    </comment>
    <comment authorId="0" ref="G32">
      <text>
        <t xml:space="preserve">Cells G32 thru G39 changed from 3B4 to 3B5 to match assignments in "Racks" tab this document.
	-Peter Hamblen</t>
      </text>
    </comment>
    <comment authorId="0" ref="G28">
      <text>
        <t xml:space="preserve">Cells G28 thru F31 changed from 3B4 to 3B6 per email from J. Haggerty &amp; M. Chu.
	-Peter Hamblen</t>
      </text>
    </comment>
  </commentList>
</comments>
</file>

<file path=xl/sharedStrings.xml><?xml version="1.0" encoding="utf-8"?>
<sst xmlns="http://schemas.openxmlformats.org/spreadsheetml/2006/main" count="1652" uniqueCount="664">
  <si>
    <t>sPHENIX
Racks and Cables Document</t>
  </si>
  <si>
    <t>Document#</t>
  </si>
  <si>
    <t>Date Effective:</t>
  </si>
  <si>
    <t>Status:</t>
  </si>
  <si>
    <t>sP.SE-ICD-042</t>
  </si>
  <si>
    <t>Contributors:</t>
  </si>
  <si>
    <t>Russ Feder, Rob Pisani, Steve Boose, Mickey Chiu, Subsystem Interface Experts</t>
  </si>
  <si>
    <t>Document Title:</t>
  </si>
  <si>
    <t>Interface Control Document for sPHENIX Racks, Cables and Services</t>
  </si>
  <si>
    <r>
      <t xml:space="preserve">1.  </t>
    </r>
    <r>
      <rPr>
        <rFont val="Calibri"/>
        <b/>
        <color rgb="FF000000"/>
        <sz val="12.0"/>
        <u/>
      </rPr>
      <t>Change History Log</t>
    </r>
  </si>
  <si>
    <t>Revision</t>
  </si>
  <si>
    <t>Effective Date:</t>
  </si>
  <si>
    <t>Initials</t>
  </si>
  <si>
    <t>Description of Changes</t>
  </si>
  <si>
    <t>A</t>
  </si>
  <si>
    <t>Initial Issue</t>
  </si>
  <si>
    <t>B</t>
  </si>
  <si>
    <t>RP</t>
  </si>
  <si>
    <t>Added cable tray ratings</t>
  </si>
  <si>
    <t>C</t>
  </si>
  <si>
    <t>TBD</t>
  </si>
  <si>
    <t>PH</t>
  </si>
  <si>
    <t>Revised content numbers and titles, added new content, revised HCAL content</t>
  </si>
  <si>
    <t>D</t>
  </si>
  <si>
    <t>E</t>
  </si>
  <si>
    <t>F</t>
  </si>
  <si>
    <t>G</t>
  </si>
  <si>
    <t>2. Contents</t>
  </si>
  <si>
    <t>Change History Log (see above)</t>
  </si>
  <si>
    <t>Contents</t>
  </si>
  <si>
    <t>Racks (content revised)</t>
  </si>
  <si>
    <t>IR Rack Power (content revised)</t>
  </si>
  <si>
    <t>DAQ Rack Power</t>
  </si>
  <si>
    <t>DAQ (new content)</t>
  </si>
  <si>
    <t>Outer HCAL (used to read "HCAL EL", content revised)</t>
  </si>
  <si>
    <t>Inner HCAL (new content)</t>
  </si>
  <si>
    <t>EMCAL (used to read "ECAL EL", content revised)</t>
  </si>
  <si>
    <t>TPC</t>
  </si>
  <si>
    <t>INTT</t>
  </si>
  <si>
    <t>MVTX</t>
  </si>
  <si>
    <t>MBD</t>
  </si>
  <si>
    <t>Cable Tray (new content)</t>
  </si>
  <si>
    <t>Cable Cut Sheets (new content)</t>
  </si>
  <si>
    <t>Approvals</t>
  </si>
  <si>
    <t>Title</t>
  </si>
  <si>
    <t>Name</t>
  </si>
  <si>
    <t>Approval Date</t>
  </si>
  <si>
    <t>Notes</t>
  </si>
  <si>
    <t>sPHENIX Chief Engineer or Deputy</t>
  </si>
  <si>
    <t>Russ Feder</t>
  </si>
  <si>
    <t>sPHENIX OSI Chair or Deputy</t>
  </si>
  <si>
    <t>Mickey Chiu</t>
  </si>
  <si>
    <t>Infrastructure L2 Manager</t>
  </si>
  <si>
    <t>Robert Pisani</t>
  </si>
  <si>
    <t>sPHENIX RACK Assignments</t>
  </si>
  <si>
    <t>The racks are all 79"H X 40"D X 24"W, except for the ones on level 2 which are 79"H  X 36"D X 24"W.</t>
  </si>
  <si>
    <t>Rack Name</t>
  </si>
  <si>
    <t>Subsystem</t>
  </si>
  <si>
    <t># of assigned racks</t>
  </si>
  <si>
    <t>1E1</t>
  </si>
  <si>
    <t>EMCAL Digi</t>
  </si>
  <si>
    <t>1W1</t>
  </si>
  <si>
    <t>3A1</t>
  </si>
  <si>
    <t>1E2</t>
  </si>
  <si>
    <t>Patch Panel</t>
  </si>
  <si>
    <t>1W2</t>
  </si>
  <si>
    <t>TPC Laser</t>
  </si>
  <si>
    <t>3A2</t>
  </si>
  <si>
    <t>EMCAL Control/Bias</t>
  </si>
  <si>
    <t>1E3</t>
  </si>
  <si>
    <t>1W3</t>
  </si>
  <si>
    <t>3A3</t>
  </si>
  <si>
    <t>TPC LV</t>
  </si>
  <si>
    <t>2E1</t>
  </si>
  <si>
    <t>2W1</t>
  </si>
  <si>
    <t>3A4</t>
  </si>
  <si>
    <t>2E2</t>
  </si>
  <si>
    <t>HCAL Control/Digi</t>
  </si>
  <si>
    <t>2W2</t>
  </si>
  <si>
    <t>3A5</t>
  </si>
  <si>
    <t>2E3</t>
  </si>
  <si>
    <t>2W3</t>
  </si>
  <si>
    <t>3A6</t>
  </si>
  <si>
    <t>3B1</t>
  </si>
  <si>
    <t>3C1</t>
  </si>
  <si>
    <t>3B2</t>
  </si>
  <si>
    <t>3C2</t>
  </si>
  <si>
    <t>3B3</t>
  </si>
  <si>
    <t>TPC HV</t>
  </si>
  <si>
    <t>3C3</t>
  </si>
  <si>
    <t>3B4</t>
  </si>
  <si>
    <t>HCAL Bias</t>
  </si>
  <si>
    <t>3C4</t>
  </si>
  <si>
    <t>3B5</t>
  </si>
  <si>
    <t>MBD Digitizer</t>
  </si>
  <si>
    <t>3C5</t>
  </si>
  <si>
    <t>3B6</t>
  </si>
  <si>
    <t>MBD Bias</t>
  </si>
  <si>
    <t>3C6</t>
  </si>
  <si>
    <t>3B7</t>
  </si>
  <si>
    <t>3C7</t>
  </si>
  <si>
    <t>3B8</t>
  </si>
  <si>
    <t>3C8</t>
  </si>
  <si>
    <t>3B9</t>
  </si>
  <si>
    <t>3C9</t>
  </si>
  <si>
    <t>sPHENIX IR RACK Power Requirements</t>
  </si>
  <si>
    <t>These are the estimated power requirements for each sPHENIX rack in the IR, as of 30-Nov-2018.  These will be updated with the final values when they are known.  The dissipation in rack column is the fraction of the heat that is deposited in the rack (vs at the detector).</t>
  </si>
  <si>
    <t>Power Load (kW)</t>
  </si>
  <si>
    <t>Fractional Dissipation in Rack</t>
  </si>
  <si>
    <t>Rack Heat Load (kW)</t>
  </si>
  <si>
    <t>0.2?</t>
  </si>
  <si>
    <t>***</t>
  </si>
  <si>
    <t>Updated TPC LV to 3 to 4</t>
  </si>
  <si>
    <t>HCAL Ctrl/Digi</t>
  </si>
  <si>
    <t xml:space="preserve">Updated EMCAL from 1.9 to 2 </t>
  </si>
  <si>
    <t>----------------------</t>
  </si>
  <si>
    <t>1.6kw per side plus 20% rack loss</t>
  </si>
  <si>
    <t>round up</t>
  </si>
  <si>
    <t xml:space="preserve"> Five 4kW MegaPacs</t>
  </si>
  <si>
    <t>For Future Use</t>
  </si>
  <si>
    <t>HCAL LV/Bias</t>
  </si>
  <si>
    <t>MBD Digi</t>
  </si>
  <si>
    <t>Totals</t>
  </si>
  <si>
    <t>TPC LV:</t>
  </si>
  <si>
    <t>We will use five 4kW MegaPacs (220V), 80% efficiency for Chassis, and 80-90% for DC-DC modules</t>
  </si>
  <si>
    <t xml:space="preserve">However, we won't use full 4kW per Chassis, and estimated total is 17kW. Applying efficiency results in 17kW </t>
  </si>
  <si>
    <t>Another utility (110V): 4 fan --&gt; 110 * 8A = 880W, ADAM system: 50W, Crate controller: 35*3= 100W</t>
  </si>
  <si>
    <t>All together: 18kW</t>
  </si>
  <si>
    <t>*TS think that one braker can take care of two 4kW MegaPacs?</t>
  </si>
  <si>
    <t>sPHENIX DAQ RACK Power Requirements</t>
  </si>
  <si>
    <t>These are the estimated power requirements for each sPHENIX rack in the DAQ Rack Room.  These will be updated with the final values when they are known.</t>
  </si>
  <si>
    <t>PRR1.1</t>
  </si>
  <si>
    <t>PRR1.2</t>
  </si>
  <si>
    <t>DCM2</t>
  </si>
  <si>
    <t>4 total emcal, OHcal,MBD, water cooled</t>
  </si>
  <si>
    <t>PRR1.3</t>
  </si>
  <si>
    <t>INTT or IHcal, water cooled</t>
  </si>
  <si>
    <t>PRR1.4</t>
  </si>
  <si>
    <t>PRR1.5</t>
  </si>
  <si>
    <t>PRR2.1</t>
  </si>
  <si>
    <t>PRR2.2</t>
  </si>
  <si>
    <t>PRR2.3</t>
  </si>
  <si>
    <t>PRR2.4</t>
  </si>
  <si>
    <t>FELIX?</t>
  </si>
  <si>
    <t>2 Felix/PC 24 + 8 = 32 Felix 16 PCs, air cool</t>
  </si>
  <si>
    <t>PRR2.5</t>
  </si>
  <si>
    <t>FELIX</t>
  </si>
  <si>
    <t>24 TPC 8 INTT Felix cards, air cool</t>
  </si>
  <si>
    <t>PRR3.1</t>
  </si>
  <si>
    <t>PRR3.2</t>
  </si>
  <si>
    <t>PRR3.3</t>
  </si>
  <si>
    <t>DAQ Subsystem Signal Interface</t>
  </si>
  <si>
    <r>
      <t xml:space="preserve">In </t>
    </r>
    <r>
      <rPr>
        <b/>
      </rPr>
      <t>bold</t>
    </r>
    <r>
      <t xml:space="preserve"> the cables going from the IR patch panel in Rack 1W2 to the Rack Room.  </t>
    </r>
  </si>
  <si>
    <r>
      <t xml:space="preserve">In </t>
    </r>
    <r>
      <rPr>
        <i/>
      </rPr>
      <t>italics</t>
    </r>
    <r>
      <t xml:space="preserve"> is a count of the breakout fibers in the DAQ Rack Room.</t>
    </r>
  </si>
  <si>
    <t>All these cables are the responsibility of WBS X.X</t>
  </si>
  <si>
    <t>Item</t>
  </si>
  <si>
    <t>Description</t>
  </si>
  <si>
    <t>Quantity</t>
  </si>
  <si>
    <t>EMCAL</t>
  </si>
  <si>
    <t>Data Fibers</t>
  </si>
  <si>
    <t>DCM2 board to Xmit via patch panel simplex</t>
  </si>
  <si>
    <t>56 MTP-LC cables  7 trunk cables/rack 4 trigger, 2 slow, 1 clock</t>
  </si>
  <si>
    <t>Digitizer crate control</t>
  </si>
  <si>
    <t>JSEB2 to digitizer controller via patch panel duplex</t>
  </si>
  <si>
    <t>Digitizer Trigger fiber</t>
  </si>
  <si>
    <t>trigger to digitizer from ICD-012</t>
  </si>
  <si>
    <t>Digitizer Timing fibers</t>
  </si>
  <si>
    <t>MTM to timing signal patch panel from ICD-012</t>
  </si>
  <si>
    <t>HCAL</t>
  </si>
  <si>
    <t>JSEB2 to digitizer controller patch panel duplex</t>
  </si>
  <si>
    <t>trigger to digitizer controller patch panel</t>
  </si>
  <si>
    <t>MTM to timing signal clock patch panel TBD</t>
  </si>
  <si>
    <t>Trunk cables</t>
  </si>
  <si>
    <t>12 fibers/trunk cable</t>
  </si>
  <si>
    <t>esttimate TBD fiber to trunk map</t>
  </si>
  <si>
    <t>12 fiber MTP Cable</t>
  </si>
  <si>
    <t>12 fiber MTP-MTP trunk</t>
  </si>
  <si>
    <t>MTP-MTP at Patch Panel Rack</t>
  </si>
  <si>
    <t>LC breakout fiber</t>
  </si>
  <si>
    <t>Controller to JSEB2</t>
  </si>
  <si>
    <t>At DAQ Rack Room</t>
  </si>
  <si>
    <t>XMIT to DCM2</t>
  </si>
  <si>
    <t>FEE Trig to LL1 Trigger Board</t>
  </si>
  <si>
    <t>Clockmaster to GTM</t>
  </si>
  <si>
    <t>Data fibers</t>
  </si>
  <si>
    <t>4x12 fibers from 24 ROC to DCM2 4x24=96 p panel</t>
  </si>
  <si>
    <t>Slow control</t>
  </si>
  <si>
    <t>ROC to JSEB2 12 each side duplex fiber</t>
  </si>
  <si>
    <t>Clock</t>
  </si>
  <si>
    <t>ROCs 24/6 = 4 patch panel from ICD_INTT</t>
  </si>
  <si>
    <t>Others ?</t>
  </si>
  <si>
    <t xml:space="preserve">Data fibers </t>
  </si>
  <si>
    <t>12/stave staves: 12 in,16 mid, 20 out TBD fem out</t>
  </si>
  <si>
    <t>TBD:  (48x1 or 48x3)</t>
  </si>
  <si>
    <t xml:space="preserve">MVTX readout config: 8RU-&gt;1FELIX; 3 pairs of fibers/RU; 24 pairs of fibers to 1 Felix; 6 FELIX in total;  At the minimum, one data fiber, one control fiber and one timing/trigger fiber, per RU;  </t>
  </si>
  <si>
    <t xml:space="preserve">Slow contorl </t>
  </si>
  <si>
    <t>Timing and Trigger</t>
  </si>
  <si>
    <t>signal fibers</t>
  </si>
  <si>
    <t>R3: 12 DAM/12MPO, R2:8DAM/8MPO,R1:6DAM/6MPO</t>
  </si>
  <si>
    <t>HCAL Electronics Power, Control and Signal Interface</t>
  </si>
  <si>
    <t>(List and describe the Power, Control and Signal interface(s) between the two subsystems covered by this document, including quantity, size, specifications and lengths of cables/fibers and associated connectors required to satisfy the interface requirements as described on the interface description page of this document)</t>
  </si>
  <si>
    <t>Services (cables/fibers)</t>
  </si>
  <si>
    <t>Circuit Characteristics</t>
  </si>
  <si>
    <t>Circuit Type # 1</t>
  </si>
  <si>
    <t>Circuit Type # 2</t>
  </si>
  <si>
    <t>Diameter</t>
  </si>
  <si>
    <t>Units</t>
  </si>
  <si>
    <t>Length</t>
  </si>
  <si>
    <t>units</t>
  </si>
  <si>
    <t>Responsible Party</t>
  </si>
  <si>
    <t>P/N</t>
  </si>
  <si>
    <t>NRTL Listed (Y/N)</t>
  </si>
  <si>
    <t>Tray Rated (Y/N)</t>
  </si>
  <si>
    <t>Approved by SHSD or LESC</t>
  </si>
  <si>
    <t>Cable Rating</t>
  </si>
  <si>
    <t>Voltage (V)</t>
  </si>
  <si>
    <t>Max Current (A)</t>
  </si>
  <si>
    <t>Cond. Pairs</t>
  </si>
  <si>
    <t>Max Current(A)</t>
  </si>
  <si>
    <t>Power Cables</t>
  </si>
  <si>
    <t>6 Conductor</t>
  </si>
  <si>
    <t>in</t>
  </si>
  <si>
    <t>m</t>
  </si>
  <si>
    <t>WBS 1.05</t>
  </si>
  <si>
    <t>2 Cables per OHCAL Module</t>
  </si>
  <si>
    <t>E2206S</t>
  </si>
  <si>
    <t>Y</t>
  </si>
  <si>
    <t>N/A</t>
  </si>
  <si>
    <t>CMP/CL3P (~300V)</t>
  </si>
  <si>
    <t>Analog Signal Cables</t>
  </si>
  <si>
    <t>Meritec 2mm HM</t>
  </si>
  <si>
    <t>3 Cables per OHCAL Module (to North box)</t>
  </si>
  <si>
    <t>N</t>
  </si>
  <si>
    <t>Yes. See approval in Vault.</t>
  </si>
  <si>
    <t>All</t>
  </si>
  <si>
    <t>OHCAL Controller Cables</t>
  </si>
  <si>
    <t>RJ-45 Cable</t>
  </si>
  <si>
    <t>OHCAL Test Pulse</t>
  </si>
  <si>
    <t>1 Cable per OHCAL Module (to North box)</t>
  </si>
  <si>
    <t>Controller, Clock, XMIT and Trigger Fibers</t>
  </si>
  <si>
    <t>MTC-LP Cables containing 12 Simplex Fibers</t>
  </si>
  <si>
    <t>4 trunk cables</t>
  </si>
  <si>
    <t>Cabling Summary</t>
  </si>
  <si>
    <t>Type</t>
  </si>
  <si>
    <t>Cross-sectional Area</t>
  </si>
  <si>
    <t>Endpoint1</t>
  </si>
  <si>
    <t>Endpoint2</t>
  </si>
  <si>
    <t>Total E Power</t>
  </si>
  <si>
    <t>in^2</t>
  </si>
  <si>
    <t>Detector</t>
  </si>
  <si>
    <t>Rack 3B5</t>
  </si>
  <si>
    <t>Total W Power</t>
  </si>
  <si>
    <t>Total E Controls</t>
  </si>
  <si>
    <t>Rack 2E2</t>
  </si>
  <si>
    <t>Total W Controls</t>
  </si>
  <si>
    <t>Rack 2W2</t>
  </si>
  <si>
    <t>Total E Test Pulse</t>
  </si>
  <si>
    <t>Total W Test Pulse</t>
  </si>
  <si>
    <t>Total E Signal</t>
  </si>
  <si>
    <t>Total W Signal</t>
  </si>
  <si>
    <t>Total E Fibers</t>
  </si>
  <si>
    <t>Rack 1E2</t>
  </si>
  <si>
    <t>Total W Fibers</t>
  </si>
  <si>
    <t>INNER HCAL Electronics Power, Control and Signal Interface</t>
  </si>
  <si>
    <t>2 Cables per iHCAL Module</t>
  </si>
  <si>
    <t>4 Cables per iHCAL Module</t>
  </si>
  <si>
    <t>IHCAL Controller Cables</t>
  </si>
  <si>
    <t>IHCAL Test Pulse Cables</t>
  </si>
  <si>
    <t>2 Cables cover 4 iHCAL Modules</t>
  </si>
  <si>
    <t>ECAL Electronics Power, Control and Signal Interface</t>
  </si>
  <si>
    <t>Responsibility</t>
  </si>
  <si>
    <t>37 Conductor</t>
  </si>
  <si>
    <t>1 cable services 1 sector, 1/4 of EMCAL per rack (=16 sectors)</t>
  </si>
  <si>
    <t>Each rack has 4 crates, 48 cables per crate, or 192 cables going into each rack.</t>
  </si>
  <si>
    <t>EMCal Controller Cable</t>
  </si>
  <si>
    <t>RJ-45 cables</t>
  </si>
  <si>
    <t>Each rack has 8*16 cables (8 cables/sector)</t>
  </si>
  <si>
    <t>MTP-LC Cables containing 12 Fibers</t>
  </si>
  <si>
    <t>7 trunk cables per rack: 4 Trigger, 2 Slow Control, 1 Clock/Timing</t>
  </si>
  <si>
    <t>Worksheet For RP</t>
  </si>
  <si>
    <t>Inside</t>
  </si>
  <si>
    <t>Outside</t>
  </si>
  <si>
    <t>Services (cooling/tubing)</t>
  </si>
  <si>
    <t>Tube OD</t>
  </si>
  <si>
    <t>ID</t>
  </si>
  <si>
    <t>area</t>
  </si>
  <si>
    <t>Crosssection</t>
  </si>
  <si>
    <t>O.D.</t>
  </si>
  <si>
    <t>PreAmp Supply</t>
  </si>
  <si>
    <t>Supply For EmCal Electronics</t>
  </si>
  <si>
    <t>1/2"</t>
  </si>
  <si>
    <t>WBS 2.4</t>
  </si>
  <si>
    <t>1 PreAmp suply tube per sector</t>
  </si>
  <si>
    <t xml:space="preserve">NOTE:  This will Change.  We will be using on large feed and return to connecto to a group of 8 Sectors.  </t>
  </si>
  <si>
    <t>PreAmp return</t>
  </si>
  <si>
    <t>Return FOr EmCal Electronics</t>
  </si>
  <si>
    <t>1 PreAmp Return Line Per sector</t>
  </si>
  <si>
    <t>Interface Supply</t>
  </si>
  <si>
    <t>Supply For EmCal Interface board</t>
  </si>
  <si>
    <t>5/16"</t>
  </si>
  <si>
    <t>1 Interface supply tube for 2 sector</t>
  </si>
  <si>
    <t>Interface return</t>
  </si>
  <si>
    <t>ReturnFor EmCal Interface board</t>
  </si>
  <si>
    <t>1 Interface Return Line for 2 sector</t>
  </si>
  <si>
    <t>SiPM Supply</t>
  </si>
  <si>
    <t>Supply For SiPMs</t>
  </si>
  <si>
    <t>1 SiPM Supply Line Per SSector</t>
  </si>
  <si>
    <t>SiPM Return</t>
  </si>
  <si>
    <t>Return For SiPMs</t>
  </si>
  <si>
    <t>1 SiPM Return Line Per sector</t>
  </si>
  <si>
    <t>N2</t>
  </si>
  <si>
    <t>To Dry</t>
  </si>
  <si>
    <t>M</t>
  </si>
  <si>
    <t>1 per sector, no return</t>
  </si>
  <si>
    <t>Cooling Summary</t>
  </si>
  <si>
    <t>This will Change. We will be using on large feed and return to connecto to a group of 8 Sectors.</t>
  </si>
  <si>
    <t>Measured</t>
  </si>
  <si>
    <t>Total NE Power</t>
  </si>
  <si>
    <t>Rack 3C2</t>
  </si>
  <si>
    <t>Each Line</t>
  </si>
  <si>
    <t>Total NW Power</t>
  </si>
  <si>
    <t>Rack 3C8</t>
  </si>
  <si>
    <t>Manifold</t>
  </si>
  <si>
    <t>Total SE Power</t>
  </si>
  <si>
    <t>Rack 3A2</t>
  </si>
  <si>
    <t>PreAmp Return</t>
  </si>
  <si>
    <t>Total SW Power</t>
  </si>
  <si>
    <t>Rack 3A5</t>
  </si>
  <si>
    <t>Total NE Controls</t>
  </si>
  <si>
    <t>Total NW Controls</t>
  </si>
  <si>
    <t>Total SE Controls</t>
  </si>
  <si>
    <t>Interface Return</t>
  </si>
  <si>
    <t>Total SW Controls</t>
  </si>
  <si>
    <t>N2 line</t>
  </si>
  <si>
    <t>Total NE Top Signal</t>
  </si>
  <si>
    <t>Rack 3C1</t>
  </si>
  <si>
    <t>Each end supplied with 8 trunks ( for 8 sectors each)  Supply Lines</t>
  </si>
  <si>
    <t>Total NW Top Signal</t>
  </si>
  <si>
    <t>Rack 3C9</t>
  </si>
  <si>
    <t>preAmp Supply Trunk (3x3square)</t>
  </si>
  <si>
    <t>Total SE Top Signal</t>
  </si>
  <si>
    <t>Rack 3A1</t>
  </si>
  <si>
    <t>preamp Supply Trunk with Insulation (3/4")</t>
  </si>
  <si>
    <t>Total SW Top Signal</t>
  </si>
  <si>
    <t>Rack 3A6</t>
  </si>
  <si>
    <t>Sipm Suply Trunk (3x3 square)</t>
  </si>
  <si>
    <t>Total NE Bot Signal</t>
  </si>
  <si>
    <t>Rack 1E3</t>
  </si>
  <si>
    <t>SiPM Supply Trunk with Insulation (1")</t>
  </si>
  <si>
    <t>Total NW Bot Signal</t>
  </si>
  <si>
    <t>Rack 1W3</t>
  </si>
  <si>
    <t>Interface Board Supply 4 tubes (2x2 sqr)</t>
  </si>
  <si>
    <t>Total SE Bot Signal</t>
  </si>
  <si>
    <t>Rack 1E1</t>
  </si>
  <si>
    <t>Interface Board  Supply 4 tubes (2x2 sqr) 3/4" insulation</t>
  </si>
  <si>
    <t>Total SW Bot Signal</t>
  </si>
  <si>
    <t>Rack 1W1</t>
  </si>
  <si>
    <t>N2 Line bundle  3x3</t>
  </si>
  <si>
    <t>Total NE Top Fibers</t>
  </si>
  <si>
    <t>Each end supplied with 8 trunks ( for 8 sectors each) Return Lines</t>
  </si>
  <si>
    <t>Total NW Top Fibers</t>
  </si>
  <si>
    <t>PreAmp Supply Trunk (3x3square)</t>
  </si>
  <si>
    <t>Total SE Top Fibers</t>
  </si>
  <si>
    <t>PreAmp Supply Trunk with Insulation (3/4")</t>
  </si>
  <si>
    <t>Total SW Top Fibers</t>
  </si>
  <si>
    <t>SIPM Return Trunk (3x3 square)</t>
  </si>
  <si>
    <t>Total NE Bot Fibers</t>
  </si>
  <si>
    <t>SIPM Return Trunk with Insulation 1"</t>
  </si>
  <si>
    <t>Total NW Bot Fibers</t>
  </si>
  <si>
    <t>Interface Board 4 tubes (2x2 sqr)</t>
  </si>
  <si>
    <t>Total SE Bot Fibers</t>
  </si>
  <si>
    <t>Interface Board 4 tubes (2x2 sqr) 3/4" insulation</t>
  </si>
  <si>
    <t>Total SW Bot Fibers</t>
  </si>
  <si>
    <t>Total Per Side (North or South)</t>
  </si>
  <si>
    <t>Total For Whole EmCal</t>
  </si>
  <si>
    <t>Cable Bundle from one sector (50% margin)</t>
  </si>
  <si>
    <t>Power</t>
  </si>
  <si>
    <t>Controls</t>
  </si>
  <si>
    <t>Signal</t>
  </si>
  <si>
    <t>Cooling</t>
  </si>
  <si>
    <t>Total</t>
  </si>
  <si>
    <t>Individual lines</t>
  </si>
  <si>
    <t>Size in trunk Bundle</t>
  </si>
  <si>
    <t>Size at sector</t>
  </si>
  <si>
    <t>EMCal SiPM Coolant supply lines</t>
  </si>
  <si>
    <t>ea</t>
  </si>
  <si>
    <t>2   5/16" tube stubs per sector connected to a single  1/2" line to manifold</t>
  </si>
  <si>
    <t>EMCal SiPM Coolant return lines</t>
  </si>
  <si>
    <t>EMCal PreAmp Coolant Supply lines</t>
  </si>
  <si>
    <t>1  3/8" tube stubs per sector connected to a single  1/2" line to manifold</t>
  </si>
  <si>
    <t>EMCal PreAmp Coolant return lines</t>
  </si>
  <si>
    <t>EMCal Interface Coolant Supply lines</t>
  </si>
  <si>
    <t>2   1/4" tube stubs on 2 sectors connected to a single  5/16" line to manifold</t>
  </si>
  <si>
    <t>EMCal Interface Coolant return lines</t>
  </si>
  <si>
    <t>EMCal Coolant</t>
  </si>
  <si>
    <t>Water/Glycol</t>
  </si>
  <si>
    <t>N2 lines</t>
  </si>
  <si>
    <t>1/4"</t>
  </si>
  <si>
    <t>1 to each sector</t>
  </si>
  <si>
    <t>EMCal Coolant Distribution manifolds</t>
  </si>
  <si>
    <t xml:space="preserve">One North, One South. </t>
  </si>
  <si>
    <t>TPC Power, Control, Signal, and Cooling Interface</t>
  </si>
  <si>
    <t>HV module connections</t>
  </si>
  <si>
    <t>RG-58/CU cable</t>
  </si>
  <si>
    <t>WBS 1.02</t>
  </si>
  <si>
    <t>SHV connectors (OD=0.57"), cable (OD=0.196") min. bend radius 2", weight 1/40 lbs/ft, 25 ft long, 36 per end plate</t>
  </si>
  <si>
    <t xml:space="preserve">HV High Grid Bias Fixed </t>
  </si>
  <si>
    <t>#18 AWG (OD=0.4")</t>
  </si>
  <si>
    <t>50 kV cable</t>
  </si>
  <si>
    <t>HV Low Grid Bias variable</t>
  </si>
  <si>
    <t>RG-58/CU cable (OD=0.196")</t>
  </si>
  <si>
    <t>LV Cables</t>
  </si>
  <si>
    <t>12-AWG shielded tray cable (12-12TC-VN-SHD, OD=0.75")</t>
  </si>
  <si>
    <t>There are 8 Megapaks, 4 on each side. # of cables is final</t>
  </si>
  <si>
    <t>Signal fibers to patch panel</t>
  </si>
  <si>
    <t>MTP 48 connector/cable</t>
  </si>
  <si>
    <t>MTP connector (OD=0.38"), cable (OD=0.15") bending radius: 7.5", weight 1/18 lbs/ft, 20 ft long</t>
  </si>
  <si>
    <t>4 Volt Digital</t>
  </si>
  <si>
    <t>4V power steps down on card to 3.3, 2.7, 2.5, 1.8</t>
  </si>
  <si>
    <t>1.5A/FEE</t>
  </si>
  <si>
    <t>624 FEEs</t>
  </si>
  <si>
    <t>Current Reasonable</t>
  </si>
  <si>
    <t>2 Volt Digital</t>
  </si>
  <si>
    <t>2V power steps down on card to 1.25, 1.25, 1.00</t>
  </si>
  <si>
    <t>3 A/FEE</t>
  </si>
  <si>
    <t>2 Volt Analog</t>
  </si>
  <si>
    <t>2V steps down to 1.25, 1.25, 0.750</t>
  </si>
  <si>
    <t xml:space="preserve">Optical </t>
  </si>
  <si>
    <t>8b10b optical link transceiver (two fibers)</t>
  </si>
  <si>
    <t>2 fiber pairs per FEE</t>
  </si>
  <si>
    <t>Slow control and data Interface</t>
  </si>
  <si>
    <t>DAM</t>
  </si>
  <si>
    <t>Felix 2.1 card</t>
  </si>
  <si>
    <t>1/sector</t>
  </si>
  <si>
    <t>24 sectors</t>
  </si>
  <si>
    <t>Optically linked to FEE, Housed in EBDC</t>
  </si>
  <si>
    <t>EBDC</t>
  </si>
  <si>
    <t>EBDC computer</t>
  </si>
  <si>
    <t>1/DAM</t>
  </si>
  <si>
    <t>24 DAMs</t>
  </si>
  <si>
    <t>Commodity PC</t>
  </si>
  <si>
    <t>Optical Details</t>
  </si>
  <si>
    <t>Size (OD)</t>
  </si>
  <si>
    <t>MTP-1</t>
  </si>
  <si>
    <t>DAM--&gt;Patch</t>
  </si>
  <si>
    <t>2/DAM</t>
  </si>
  <si>
    <t>24 DAM</t>
  </si>
  <si>
    <t>48F MTP Cable -- 3 meters</t>
  </si>
  <si>
    <t>MTP-2</t>
  </si>
  <si>
    <t>Patch(CH)--&gt;Patch(Carriage)</t>
  </si>
  <si>
    <t>48F MTP Cable -- 58 meters</t>
  </si>
  <si>
    <t>MTP-3</t>
  </si>
  <si>
    <t>Patch(Carriage)--&gt;TPC</t>
  </si>
  <si>
    <t>48F MTP Cable -- 15 meters</t>
  </si>
  <si>
    <t>LC-Duplex</t>
  </si>
  <si>
    <t>TPC--&gt;FEE</t>
  </si>
  <si>
    <t>40/DAM</t>
  </si>
  <si>
    <t>4/FEE @ R1, 2/FEE@R2,3, LC-Duplex Cable ~ 1 meter</t>
  </si>
  <si>
    <t>LV Details Details</t>
  </si>
  <si>
    <t>Size (o. dia)</t>
  </si>
  <si>
    <t>DC Multi-pin</t>
  </si>
  <si>
    <t>4S/4R  2S/2R  2S/2R ==&gt; FEE, 6 lines/cable</t>
  </si>
  <si>
    <t>1 cable/FEE</t>
  </si>
  <si>
    <t>18-20 AWG</t>
  </si>
  <si>
    <t>624 FEE</t>
  </si>
  <si>
    <t>Each 6-plet of wires runs ~20 meters length</t>
  </si>
  <si>
    <t>DC Mains</t>
  </si>
  <si>
    <t>From Multipac --&gt; Slice Box</t>
  </si>
  <si>
    <t>6 lines/FEE</t>
  </si>
  <si>
    <t>6 AWG</t>
  </si>
  <si>
    <t>HV Details Details</t>
  </si>
  <si>
    <t>Central Membrane</t>
  </si>
  <si>
    <t>From Weiner Power Supply to CM</t>
  </si>
  <si>
    <t>0.330 " OD</t>
  </si>
  <si>
    <t>60 hVDC -- Dielectric Sciences 2149SV.  Test BNL Safety, subject to usage agreements</t>
  </si>
  <si>
    <t>GEM Power</t>
  </si>
  <si>
    <t>From Weiner --&gt; Gemstacks</t>
  </si>
  <si>
    <t>4/sector</t>
  </si>
  <si>
    <t>0.57"</t>
  </si>
  <si>
    <t>Standard SHV cable - RG59U</t>
  </si>
  <si>
    <t>Grid Power</t>
  </si>
  <si>
    <t>1/side</t>
  </si>
  <si>
    <t>2 sides</t>
  </si>
  <si>
    <t>Standard SHV cable -- RG59U</t>
  </si>
  <si>
    <t>Laser Details</t>
  </si>
  <si>
    <t>Control</t>
  </si>
  <si>
    <t>Note see TPC pinout/fiber map document for TPC signals, control, monitoring, laser, etc.</t>
  </si>
  <si>
    <t>HV North</t>
  </si>
  <si>
    <t>Rack 3C3</t>
  </si>
  <si>
    <t>HV South</t>
  </si>
  <si>
    <t>Rack 3A3</t>
  </si>
  <si>
    <t>HV High Grid Bias</t>
  </si>
  <si>
    <t>HV Low Grid Bias North</t>
  </si>
  <si>
    <t>HV Low Grid Bias South</t>
  </si>
  <si>
    <t>Total North HV</t>
  </si>
  <si>
    <t>Total South HV</t>
  </si>
  <si>
    <t>LV North</t>
  </si>
  <si>
    <t>Rack 3C4</t>
  </si>
  <si>
    <t>LV South</t>
  </si>
  <si>
    <t>Rack 3A4</t>
  </si>
  <si>
    <t>Total North LV</t>
  </si>
  <si>
    <t>Total South LV</t>
  </si>
  <si>
    <t>Total North Fiber Signal</t>
  </si>
  <si>
    <t>Total South Fiber Signal</t>
  </si>
  <si>
    <t>Quantity/Value</t>
  </si>
  <si>
    <t>Detector total heat load</t>
  </si>
  <si>
    <t>FEE+optical module+LV PS GEM-HV</t>
  </si>
  <si>
    <t>kW</t>
  </si>
  <si>
    <t>4.7 kW per end-plate</t>
  </si>
  <si>
    <t>Coolant spec</t>
  </si>
  <si>
    <t>liquid</t>
  </si>
  <si>
    <t>1.5ton@10C/end plate</t>
  </si>
  <si>
    <t># coolant circuits at detector</t>
  </si>
  <si>
    <t>Fittings at detector</t>
  </si>
  <si>
    <t>(fitting size/spec)</t>
  </si>
  <si>
    <t>Coolant flow rate</t>
  </si>
  <si>
    <t>Coolant temperature at inlet</t>
  </si>
  <si>
    <t>Coolant temperature stability</t>
  </si>
  <si>
    <t>+/-2</t>
  </si>
  <si>
    <t>K</t>
  </si>
  <si>
    <t>Coolant pressure at inlet</t>
  </si>
  <si>
    <t>Coolant pressure drop</t>
  </si>
  <si>
    <t>Gas</t>
  </si>
  <si>
    <t>1/4" NPT</t>
  </si>
  <si>
    <t>each</t>
  </si>
  <si>
    <t>6 gas inlet/outlets</t>
  </si>
  <si>
    <t>Gas flow rate</t>
  </si>
  <si>
    <t>1 m^3/hr</t>
  </si>
  <si>
    <t>Ne-based</t>
  </si>
  <si>
    <t>At present: Ne-CF4 90-10</t>
  </si>
  <si>
    <t>Gas piping size/length</t>
  </si>
  <si>
    <t>1/4" SS flexible tubes (OD=0.235")</t>
  </si>
  <si>
    <t>ft</t>
  </si>
  <si>
    <t>6 gas inlet/outlets; min. bend radius: 4", weight: 1/6 lbs/ft</t>
  </si>
  <si>
    <t>Gas piping number</t>
  </si>
  <si>
    <t>1/4" SS flexible tubes</t>
  </si>
  <si>
    <t>Gas piping manifold</t>
  </si>
  <si>
    <t>6x1/4" to 1.5"</t>
  </si>
  <si>
    <t>weight: 10 lbs each</t>
  </si>
  <si>
    <t>1.5" flexible tube (OD=2")</t>
  </si>
  <si>
    <t>min. bend radius: 12", weight: 1-1/4 lbs/ft</t>
  </si>
  <si>
    <t>1.5" SS flexible tubes</t>
  </si>
  <si>
    <t>INTT Power, Control and Signal Interface</t>
  </si>
  <si>
    <t>HV Bias Cables</t>
  </si>
  <si>
    <t>Each half ladder needs 1 HV cable</t>
  </si>
  <si>
    <t>mm</t>
  </si>
  <si>
    <t>WBS 3.1</t>
  </si>
  <si>
    <t>Connection is at HDI end, 96 cables each side, from ladder to Local Power/Rack at IR</t>
  </si>
  <si>
    <t>LV for the ROC</t>
  </si>
  <si>
    <t>1 cable with 22 pin connectors</t>
  </si>
  <si>
    <t>Each ROC needs one LV cable, 1 cables x 16 ROCs = 16 cables, 8 cables each side, Depends on the location of the Local Power ROC at IR</t>
  </si>
  <si>
    <t>LV for the ladder at the ROC</t>
  </si>
  <si>
    <t>4 cables in each ROC</t>
  </si>
  <si>
    <t>4 cables x 24 ROCs = 96 cables, 48 cables in each side, length depends on the location of the Local Power ROC at IR</t>
  </si>
  <si>
    <t>Data Signal Cable</t>
  </si>
  <si>
    <t>4 x 12 fibers optical cables data each ROC</t>
  </si>
  <si>
    <t>Connection is at the ROC,  4 cables x 24 ROCs = 96 cables, 48 cables in each side, From the ROC to Patch Panel Rack</t>
  </si>
  <si>
    <t>Slow Control Cable</t>
  </si>
  <si>
    <t xml:space="preserve"> 1 duplex fibers optical cable </t>
  </si>
  <si>
    <t xml:space="preserve"> 1 duples x 16 ROCs = 16,  6 each side, From the ROC to patch panel</t>
  </si>
  <si>
    <t>Clock Cable (ROC to clock board)</t>
  </si>
  <si>
    <t>Clock cable with 8 pin connector</t>
  </si>
  <si>
    <t>6 each side, Each ROC has one clock cable</t>
  </si>
  <si>
    <t>Clock Cable (clock board to patch panel)</t>
  </si>
  <si>
    <t>1 duplex fiber optical cable</t>
  </si>
  <si>
    <t>1 duplex fiber optical cable serve 6 ROCs, 1 duplex fiber: from clock board to patch panel, 2 each side, 24/6 = 4</t>
  </si>
  <si>
    <t>power cable: clock board to patch panel</t>
  </si>
  <si>
    <t>Each clock board serves 6 ROCs, 2 each side</t>
  </si>
  <si>
    <t>Temperature Cable</t>
  </si>
  <si>
    <t>One cable from HDI end to readout board at IR</t>
  </si>
  <si>
    <t>One cable from HDI end to readout board at IR, 96 cables each side</t>
  </si>
  <si>
    <t>INTT Ladder</t>
  </si>
  <si>
    <t>Rack 2W3</t>
  </si>
  <si>
    <t>Rack 2W1</t>
  </si>
  <si>
    <t>ROC</t>
  </si>
  <si>
    <t>Signals North</t>
  </si>
  <si>
    <t>Signals South</t>
  </si>
  <si>
    <t>Slow Control North</t>
  </si>
  <si>
    <t>Slow Control South</t>
  </si>
  <si>
    <t>Clock North</t>
  </si>
  <si>
    <t>Clock South</t>
  </si>
  <si>
    <t>Thermocouples North</t>
  </si>
  <si>
    <t>Thermocouples South</t>
  </si>
  <si>
    <t>Total North Signal</t>
  </si>
  <si>
    <t>Total South Signal</t>
  </si>
  <si>
    <t>Total North</t>
  </si>
  <si>
    <t>Total South</t>
  </si>
  <si>
    <t>MVTX Power, Control and Signal Interface</t>
  </si>
  <si>
    <t>(List and describe the Power, Control and Signal interface(s) between the two subsystems covered by this document, including quantity, size, specifications and lengths of cables/fibers and associated connectors required to satisfy the interface requirements as described on the interface description page of this document)
The MVTX has 
1. Samtec Twinax Firefly signal cables which bring the signal from the inner patch panel to the RUs in the MVTX rack.
2. Combined analog and digital power cables to supply ground, bias, slow controls, and power, from the MVTX rack(?) to the connection with the power extension FPCs.  These have multiple conductors:  2 analog power, 2 digital power, 6 for ground, bias, slow controls, all in a common sheath
3. Air cooling hoses carrying dry air or nitrogen from an unidentified supply to the MVTX inner patch panel
4. Water cooling hoses carrying below-atmospheric-pressure, room temp water from cooling plant(?) to connections near the inner patch panel.
5. possibly temperature or other sense wires?</t>
  </si>
  <si>
    <t>Power, control, and ground</t>
  </si>
  <si>
    <t>10-conductor cable
 one for each stave</t>
  </si>
  <si>
    <t>WBS 3.2</t>
  </si>
  <si>
    <r>
      <t>Runs between</t>
    </r>
    <r>
      <rPr>
        <b/>
      </rPr>
      <t xml:space="preserve"> inner patch panel </t>
    </r>
    <r>
      <t xml:space="preserve">at endwheel and </t>
    </r>
    <r>
      <rPr>
        <b/>
      </rPr>
      <t xml:space="preserve">outer patch panel </t>
    </r>
    <r>
      <t>at end of service barrel</t>
    </r>
  </si>
  <si>
    <t>10-conductor cable
one for each stave</t>
  </si>
  <si>
    <r>
      <t xml:space="preserve">Runs between </t>
    </r>
    <r>
      <rPr>
        <b/>
      </rPr>
      <t>outer patch panel</t>
    </r>
    <r>
      <t xml:space="preserve"> at end of service barrel and various points on </t>
    </r>
    <r>
      <rPr>
        <b/>
      </rPr>
      <t xml:space="preserve">2E1 </t>
    </r>
    <r>
      <t>(will need to be broken out there?)</t>
    </r>
  </si>
  <si>
    <t>unknown cable</t>
  </si>
  <si>
    <r>
      <t xml:space="preserve">Runs between </t>
    </r>
    <r>
      <rPr>
        <b/>
      </rPr>
      <t xml:space="preserve">2E1 </t>
    </r>
    <r>
      <t xml:space="preserve">and </t>
    </r>
    <r>
      <rPr>
        <b/>
      </rPr>
      <t xml:space="preserve">2E3 </t>
    </r>
    <r>
      <t>to supply power to power breakout boards</t>
    </r>
  </si>
  <si>
    <t>Digital Signal Cables</t>
  </si>
  <si>
    <t>Samtec 30AWG Twinax Firefly</t>
  </si>
  <si>
    <r>
      <t>12 per stave.  Not round, but eff. diameter., Runs between</t>
    </r>
    <r>
      <rPr>
        <b/>
      </rPr>
      <t xml:space="preserve"> inner patch panel</t>
    </r>
    <r>
      <t xml:space="preserve"> at endwheel and </t>
    </r>
    <r>
      <rPr>
        <b/>
      </rPr>
      <t>outer patch panel</t>
    </r>
    <r>
      <t xml:space="preserve"> at end of service barrel</t>
    </r>
  </si>
  <si>
    <r>
      <t xml:space="preserve">12 per stave.  Not round, but eff. diameter., Runs between </t>
    </r>
    <r>
      <rPr>
        <b/>
      </rPr>
      <t xml:space="preserve">outer patch panel </t>
    </r>
    <r>
      <t xml:space="preserve">at end of service barrel and various points on </t>
    </r>
    <r>
      <rPr>
        <b/>
      </rPr>
      <t>2E1; the total length (2+8) &lt;= 10m.</t>
    </r>
  </si>
  <si>
    <t>Optical Link</t>
  </si>
  <si>
    <t>optical fiber</t>
  </si>
  <si>
    <t>from CH to 2E1; 50m?</t>
  </si>
  <si>
    <t>CAN Bus Link</t>
  </si>
  <si>
    <t>from CH to 2E1;</t>
  </si>
  <si>
    <t>Water cooling hoses</t>
  </si>
  <si>
    <t>water cooling hoses</t>
  </si>
  <si>
    <t>ID. 2mm near stave, then becomes 4mm.  Interfaces four 4mm lines to one 6mm (xStave)</t>
  </si>
  <si>
    <t>Air cooling hoses</t>
  </si>
  <si>
    <t>air cooling hoses</t>
  </si>
  <si>
    <t>ID.</t>
  </si>
  <si>
    <t>Rack 2E1</t>
  </si>
  <si>
    <t>Rack 2E3</t>
  </si>
  <si>
    <t>Total from 2E1 to 2E3</t>
  </si>
  <si>
    <t>Water</t>
  </si>
  <si>
    <t>MVTX outer patch panel</t>
  </si>
  <si>
    <t>Air</t>
  </si>
  <si>
    <t>Total Hoses</t>
  </si>
  <si>
    <t>data</t>
  </si>
  <si>
    <t>controls</t>
  </si>
  <si>
    <t>Total to from 2E3 to ROC</t>
  </si>
  <si>
    <t>Power, Control, and Ground</t>
  </si>
  <si>
    <t>Total from patch to 2E3</t>
  </si>
  <si>
    <t>Power @2E1 Readout &amp; PU</t>
  </si>
  <si>
    <t>V (Voltage)</t>
  </si>
  <si>
    <t>I (Current)_Max</t>
  </si>
  <si>
    <t>Power Load(W)</t>
  </si>
  <si>
    <t>x48</t>
  </si>
  <si>
    <t>RU (x48)</t>
  </si>
  <si>
    <t>Stave(x48)</t>
  </si>
  <si>
    <t>Stave Bias (x48), -V</t>
  </si>
  <si>
    <t>Voltage Drops (guess for now)</t>
  </si>
  <si>
    <t>RU wires</t>
  </si>
  <si>
    <t>Stave wires</t>
  </si>
  <si>
    <t xml:space="preserve">PU (x24) Total  Output to staves+RU </t>
  </si>
  <si>
    <t xml:space="preserve">all 2E1 power RU&amp;PU  is from CAEN </t>
  </si>
  <si>
    <t>MBD Power, Control and Signal Interface</t>
  </si>
  <si>
    <t>The MBD has 
1. Aircore signal cables which bring the analog signal cables directly from the PMT to the FEM electronics in the MBD rack.
2. HV cables to supply the HV bias, and going to the MBD rack.
3. Optical fiber cables for a laser or LED calibration system (where this comes from is not yet defined)
4. Thermocouple wires to monitor temperature (and which are interlocked with the HV).  This goes to the MBD rack.</t>
  </si>
  <si>
    <t>HV Cables</t>
  </si>
  <si>
    <t>RG58 cables</t>
  </si>
  <si>
    <t>WBS 1.07</t>
  </si>
  <si>
    <t>4 to north MBD, 4 to south</t>
  </si>
  <si>
    <t>VW-1</t>
  </si>
  <si>
    <t>Andrew FSJ1RN-50B cables</t>
  </si>
  <si>
    <t xml:space="preserve">UL 1666/CATVR, IEC 61034 </t>
  </si>
  <si>
    <t>Thermocouple Cables</t>
  </si>
  <si>
    <t>Thermocouple</t>
  </si>
  <si>
    <t>Laser Fibers</t>
  </si>
  <si>
    <t>MTP-LC Cable containing 12 Fibers</t>
  </si>
  <si>
    <t>To Patch Panel: 1 duplex controller, 1 simplex CLK and 2 XMITs, and 4 Trigger for 9 single fibers.  We may be able to pack 4 ADC Boards in 1 XMIT, in which case we would only need 8 single fibers.</t>
  </si>
  <si>
    <t>Rack 3B6</t>
  </si>
  <si>
    <t>Thermocouples N</t>
  </si>
  <si>
    <t>Thermocouples S</t>
  </si>
  <si>
    <t>Laser Fibers N</t>
  </si>
  <si>
    <t>Laser Fibers S</t>
  </si>
  <si>
    <t>Total Fiber to DAQ</t>
  </si>
  <si>
    <t>Lists</t>
  </si>
  <si>
    <t>Item #</t>
  </si>
  <si>
    <t>Center Rail Raised?</t>
  </si>
  <si>
    <t>Yes</t>
  </si>
  <si>
    <t>No</t>
  </si>
  <si>
    <t>OHCAL</t>
  </si>
  <si>
    <t>IHCAL</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</si>
</sst>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d/yyyy"/>
    <numFmt numFmtId="165" formatCode="0.000"/>
    <numFmt numFmtId="166" formatCode="m/d"/>
    <numFmt numFmtId="167" formatCode="0.00000000"/>
  </numFmts>
  <fonts count="90">
    <font>
      <sz val="12.0"/>
      <color rgb="FF000000"/>
      <name val="Calibri"/>
    </font>
    <font>
      <b/>
      <sz val="12.0"/>
      <color rgb="FF000000"/>
      <name val="Calibri"/>
    </font>
    <font/>
    <font>
      <sz val="12.0"/>
      <color rgb="FFFF0000"/>
      <name val="Calibri"/>
    </font>
    <font>
      <sz val="12.0"/>
      <name val="Calibri"/>
    </font>
    <font>
      <b/>
      <u/>
      <sz val="12.0"/>
      <color rgb="FF000000"/>
      <name val="Calibri"/>
    </font>
    <font>
      <b/>
      <u/>
      <sz val="12.0"/>
      <color rgb="FF000000"/>
      <name val="Calibri"/>
    </font>
    <font>
      <b/>
      <u/>
      <sz val="16.0"/>
      <color rgb="FF000000"/>
      <name val="Calibri"/>
    </font>
    <font>
      <sz val="12.0"/>
      <color rgb="FFC55A11"/>
      <name val="Calibri"/>
    </font>
    <font>
      <sz val="12.0"/>
      <color rgb="FFBF9000"/>
      <name val="Calibri"/>
    </font>
    <font>
      <sz val="12.0"/>
      <color rgb="FF7030A0"/>
      <name val="Calibri"/>
    </font>
    <font>
      <sz val="12.0"/>
      <color rgb="FF833C0B"/>
      <name val="Calibri"/>
    </font>
    <font>
      <sz val="12.0"/>
      <color rgb="FF2F5496"/>
      <name val="Calibri"/>
    </font>
    <font>
      <sz val="12.0"/>
      <color rgb="FF00B0F0"/>
      <name val="Calibri"/>
    </font>
    <font>
      <sz val="12.0"/>
      <color rgb="FF548135"/>
      <name val="Calibri"/>
    </font>
    <font>
      <b/>
      <u/>
      <sz val="16.0"/>
      <color rgb="FF000000"/>
      <name val="Calibri"/>
    </font>
    <font>
      <sz val="12.0"/>
      <color rgb="FF000000"/>
      <name val="Helvetica"/>
    </font>
    <font>
      <b/>
    </font>
    <font>
      <b/>
      <sz val="16.0"/>
    </font>
    <font>
      <color rgb="FF000000"/>
      <name val="Calibri"/>
    </font>
    <font>
      <color rgb="FFFF0000"/>
    </font>
    <font>
      <color rgb="FF274E13"/>
    </font>
    <font>
      <b/>
      <color rgb="FF073763"/>
    </font>
    <font>
      <i/>
      <color rgb="FF073763"/>
    </font>
    <font>
      <color rgb="FF3C78D8"/>
    </font>
    <font>
      <color rgb="FF1C4587"/>
    </font>
    <font>
      <color rgb="FF7030A0"/>
    </font>
    <font>
      <b/>
      <sz val="14.0"/>
      <color rgb="FF000000"/>
      <name val="Calibri"/>
    </font>
    <font>
      <b/>
      <u/>
      <sz val="12.0"/>
      <color rgb="FF000000"/>
      <name val="Calibri"/>
    </font>
    <font>
      <b/>
      <u/>
      <sz val="12.0"/>
      <color rgb="FF000000"/>
      <name val="Calibri"/>
    </font>
    <font>
      <b/>
      <u/>
      <sz val="12.0"/>
      <color rgb="FF000000"/>
      <name val="Calibri"/>
    </font>
    <font>
      <b/>
      <u/>
      <sz val="14.0"/>
      <color rgb="FF000000"/>
      <name val="Calibri"/>
    </font>
    <font>
      <b/>
      <u/>
      <sz val="14.0"/>
      <color rgb="FF000000"/>
      <name val="Calibri"/>
    </font>
    <font>
      <b/>
      <u/>
      <sz val="14.0"/>
      <color rgb="FF000000"/>
      <name val="Calibri"/>
    </font>
    <font>
      <b/>
      <u/>
      <sz val="14.0"/>
      <color rgb="FF000000"/>
      <name val="Calibri"/>
    </font>
    <font>
      <b/>
      <u/>
      <sz val="12.0"/>
      <color rgb="FF000000"/>
      <name val="Calibri"/>
    </font>
    <font>
      <b/>
      <u/>
      <sz val="12.0"/>
      <color rgb="FF000000"/>
      <name val="Calibri"/>
    </font>
    <font>
      <b/>
      <u/>
      <sz val="12.0"/>
      <color rgb="FF000000"/>
      <name val="Calibri"/>
    </font>
    <font>
      <b/>
      <u/>
      <sz val="12.0"/>
      <color rgb="FF000000"/>
      <name val="Calibri"/>
    </font>
    <font>
      <b/>
      <u/>
      <sz val="12.0"/>
      <color rgb="FF000000"/>
      <name val="Calibri"/>
    </font>
    <font>
      <color rgb="FF000000"/>
    </font>
    <font>
      <b/>
      <u/>
      <sz val="12.0"/>
      <color rgb="FF000000"/>
      <name val="Calibri"/>
    </font>
    <font>
      <b/>
      <u/>
      <sz val="12.0"/>
      <color rgb="FF000000"/>
      <name val="Calibri"/>
    </font>
    <font>
      <b/>
      <u/>
      <sz val="12.0"/>
      <color rgb="FF000000"/>
      <name val="Calibri"/>
    </font>
    <font>
      <b/>
      <sz val="16.0"/>
      <color rgb="FF000000"/>
      <name val="Calibri"/>
    </font>
    <font>
      <b/>
      <u/>
      <sz val="12.0"/>
      <color rgb="FF000000"/>
      <name val="Calibri"/>
    </font>
    <font>
      <b/>
      <u/>
      <sz val="12.0"/>
      <color rgb="FF000000"/>
      <name val="Calibri"/>
    </font>
    <font>
      <b/>
      <u/>
      <sz val="12.0"/>
      <color rgb="FF000000"/>
      <name val="Calibri"/>
    </font>
    <font>
      <sz val="11.0"/>
      <color rgb="FF000000"/>
      <name val="Calibri"/>
    </font>
    <font>
      <b/>
      <color rgb="FF000000"/>
      <name val="Roboto"/>
    </font>
    <font>
      <b/>
      <u/>
      <sz val="14.0"/>
      <color rgb="FF000000"/>
      <name val="Calibri"/>
    </font>
    <font>
      <b/>
      <u/>
      <sz val="14.0"/>
      <color rgb="FF000000"/>
      <name val="Calibri"/>
    </font>
    <font>
      <b/>
      <u/>
      <sz val="14.0"/>
      <color rgb="FF000000"/>
      <name val="Calibri"/>
    </font>
    <font>
      <b/>
      <u/>
      <sz val="14.0"/>
      <color rgb="FF000000"/>
      <name val="Calibri"/>
    </font>
    <font>
      <b/>
      <u/>
      <sz val="12.0"/>
      <color rgb="FF000000"/>
      <name val="Calibri"/>
    </font>
    <font>
      <u/>
      <sz val="14.0"/>
      <color rgb="FF000000"/>
      <name val="Calibri"/>
    </font>
    <font>
      <u/>
      <sz val="14.0"/>
      <color rgb="FF000000"/>
      <name val="Calibri"/>
    </font>
    <font>
      <u/>
      <sz val="14.0"/>
      <color rgb="FF000000"/>
      <name val="Calibri"/>
    </font>
    <font>
      <u/>
      <sz val="12.0"/>
      <color rgb="FF000000"/>
      <name val="Calibri"/>
    </font>
    <font>
      <b/>
      <u/>
      <sz val="12.0"/>
      <color rgb="FF000000"/>
      <name val="Calibri"/>
    </font>
    <font>
      <sz val="12.0"/>
    </font>
    <font>
      <u/>
      <sz val="12.0"/>
      <color rgb="FF000000"/>
      <name val="Calibri"/>
    </font>
    <font>
      <u/>
      <sz val="12.0"/>
      <color rgb="FF000000"/>
      <name val="Calibri"/>
    </font>
    <font>
      <u/>
      <sz val="12.0"/>
      <color rgb="FF000000"/>
      <name val="Calibri"/>
    </font>
    <font>
      <b/>
      <i/>
      <sz val="16.0"/>
      <color rgb="FF000000"/>
      <name val="Calibri"/>
    </font>
    <font>
      <b/>
      <u/>
      <sz val="14.0"/>
      <color rgb="FF000000"/>
      <name val="Calibri"/>
    </font>
    <font>
      <b/>
      <u/>
      <sz val="14.0"/>
      <color rgb="FF000000"/>
      <name val="Calibri"/>
    </font>
    <font>
      <b/>
      <u/>
      <sz val="14.0"/>
      <color rgb="FF000000"/>
      <name val="Calibri"/>
    </font>
    <font>
      <b/>
      <u/>
      <sz val="16.0"/>
      <color rgb="FF000000"/>
      <name val="Calibri"/>
    </font>
    <font>
      <b/>
      <u/>
      <sz val="12.0"/>
      <color rgb="FF000000"/>
      <name val="Calibri"/>
    </font>
    <font>
      <b/>
      <u/>
      <sz val="12.0"/>
      <color rgb="FF000000"/>
      <name val="Calibri"/>
    </font>
    <font>
      <u/>
      <sz val="12.0"/>
      <color rgb="FF000000"/>
      <name val="Calibri"/>
    </font>
    <font>
      <u/>
      <sz val="12.0"/>
      <color rgb="FF000000"/>
      <name val="Calibri"/>
    </font>
    <font>
      <u/>
      <sz val="12.0"/>
      <color rgb="FF000000"/>
      <name val="Calibri"/>
    </font>
    <font>
      <u/>
      <sz val="12.0"/>
      <color rgb="FF000000"/>
      <name val="Calibri"/>
    </font>
    <font>
      <b/>
      <u/>
      <sz val="14.0"/>
      <color rgb="FF000000"/>
      <name val="Calibri"/>
    </font>
    <font>
      <sz val="12.0"/>
      <color rgb="FF000000"/>
      <name val="Arial"/>
    </font>
    <font>
      <u/>
      <sz val="12.0"/>
      <color rgb="FF000000"/>
      <name val="Calibri"/>
    </font>
    <font>
      <u/>
      <sz val="12.0"/>
      <color rgb="FF000000"/>
      <name val="Calibri"/>
    </font>
    <font>
      <u/>
      <sz val="12.0"/>
      <color rgb="FF000000"/>
      <name val="Calibri"/>
    </font>
    <font>
      <u/>
      <sz val="12.0"/>
      <color rgb="FF000000"/>
      <name val="Calibri"/>
    </font>
    <font>
      <b/>
      <u/>
      <sz val="12.0"/>
      <color rgb="FF000000"/>
      <name val="Calibri"/>
    </font>
    <font>
      <b/>
      <u/>
      <sz val="12.0"/>
      <color rgb="FF000000"/>
      <name val="Calibri"/>
    </font>
    <font>
      <b/>
      <u/>
      <sz val="12.0"/>
      <color rgb="FF000000"/>
      <name val="Calibri"/>
    </font>
    <font>
      <b/>
      <u/>
      <sz val="12.0"/>
      <color rgb="FF000000"/>
      <name val="Calibri"/>
    </font>
    <font>
      <b/>
      <sz val="12.0"/>
      <name val="Calibri"/>
    </font>
    <font>
      <b/>
      <u/>
      <sz val="12.0"/>
      <name val="Calibri"/>
    </font>
    <font>
      <b/>
      <u/>
      <sz val="12.0"/>
      <name val="Calibri"/>
    </font>
    <font>
      <b/>
      <u/>
      <sz val="12.0"/>
      <color rgb="FF000000"/>
      <name val="Calibri"/>
    </font>
    <font>
      <b/>
      <u/>
      <sz val="12.0"/>
      <color rgb="FF000000"/>
      <name val="Calibri"/>
    </font>
  </fonts>
  <fills count="15">
    <fill>
      <patternFill patternType="none"/>
    </fill>
    <fill>
      <patternFill patternType="lightGray"/>
    </fill>
    <fill>
      <patternFill patternType="solid">
        <fgColor rgb="FFD8D8D8"/>
        <bgColor rgb="FFD8D8D8"/>
      </patternFill>
    </fill>
    <fill>
      <patternFill patternType="solid">
        <fgColor rgb="FFDEEAF6"/>
        <bgColor rgb="FFDEEAF6"/>
      </patternFill>
    </fill>
    <fill>
      <patternFill patternType="solid">
        <fgColor rgb="FF00FFFF"/>
        <bgColor rgb="FF00FFFF"/>
      </patternFill>
    </fill>
    <fill>
      <patternFill patternType="solid">
        <fgColor rgb="FFF4CCCC"/>
        <bgColor rgb="FFF4CCCC"/>
      </patternFill>
    </fill>
    <fill>
      <patternFill patternType="solid">
        <fgColor rgb="FFFFD966"/>
        <bgColor rgb="FFFFD966"/>
      </patternFill>
    </fill>
    <fill>
      <patternFill patternType="solid">
        <fgColor rgb="FFFFFFFF"/>
        <bgColor rgb="FFFFFFFF"/>
      </patternFill>
    </fill>
    <fill>
      <patternFill patternType="solid">
        <fgColor rgb="FFFFF2CC"/>
        <bgColor rgb="FFFFF2CC"/>
      </patternFill>
    </fill>
    <fill>
      <patternFill patternType="solid">
        <fgColor rgb="FFFEF2CB"/>
        <bgColor rgb="FFFEF2CB"/>
      </patternFill>
    </fill>
    <fill>
      <patternFill patternType="solid">
        <fgColor rgb="FFFFCED1"/>
        <bgColor rgb="FFFFCED1"/>
      </patternFill>
    </fill>
    <fill>
      <patternFill patternType="solid">
        <fgColor rgb="FFFFFF00"/>
        <bgColor rgb="FFFFFF00"/>
      </patternFill>
    </fill>
    <fill>
      <patternFill patternType="solid">
        <fgColor rgb="FFECECEC"/>
        <bgColor rgb="FFECECEC"/>
      </patternFill>
    </fill>
    <fill>
      <patternFill patternType="solid">
        <fgColor rgb="FFEBF1DE"/>
        <bgColor rgb="FFEBF1DE"/>
      </patternFill>
    </fill>
    <fill>
      <patternFill patternType="solid">
        <fgColor rgb="FFDAEEF3"/>
        <bgColor rgb="FFDAEEF3"/>
      </patternFill>
    </fill>
  </fills>
  <borders count="120">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top style="medium">
        <color rgb="FF000000"/>
      </top>
      <bottom/>
    </border>
    <border>
      <right/>
      <top style="medium">
        <color rgb="FF000000"/>
      </top>
      <bottom/>
    </border>
    <border>
      <left/>
      <right style="medium">
        <color rgb="FF000000"/>
      </right>
      <top style="medium">
        <color rgb="FF000000"/>
      </top>
      <bottom/>
    </border>
    <border>
      <right style="medium">
        <color rgb="FF000000"/>
      </right>
      <top style="medium">
        <color rgb="FF000000"/>
      </top>
      <bottom/>
    </border>
    <border>
      <left style="medium">
        <color rgb="FF000000"/>
      </left>
    </border>
    <border>
      <right style="medium">
        <color rgb="FF000000"/>
      </right>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right/>
      <top/>
      <bottom/>
    </border>
    <border>
      <left/>
      <right style="medium">
        <color rgb="FF000000"/>
      </right>
      <top/>
      <bottom/>
    </border>
    <border>
      <left style="medium">
        <color rgb="FF000000"/>
      </left>
      <top/>
    </border>
    <border>
      <right style="medium">
        <color rgb="FF000000"/>
      </right>
      <top/>
    </border>
    <border>
      <left style="medium">
        <color rgb="FF000000"/>
      </left>
      <right/>
      <top style="medium">
        <color rgb="FF000000"/>
      </top>
      <bottom/>
    </border>
    <border>
      <left/>
      <right/>
      <top style="medium">
        <color rgb="FF000000"/>
      </top>
      <bottom/>
    </border>
    <border>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top style="medium">
        <color rgb="FF000000"/>
      </top>
      <bottom/>
    </border>
    <border>
      <right/>
      <top/>
      <bottom style="medium">
        <color rgb="FF000000"/>
      </bottom>
    </border>
    <border>
      <left style="medium">
        <color rgb="FF000000"/>
      </left>
      <right style="medium">
        <color rgb="FF000000"/>
      </right>
      <top style="medium">
        <color rgb="FF000000"/>
      </top>
    </border>
    <border>
      <left style="thick">
        <color rgb="FF000000"/>
      </left>
      <top style="medium">
        <color rgb="FF000000"/>
      </top>
    </border>
    <border>
      <left style="medium">
        <color rgb="FF000000"/>
      </left>
      <right style="medium">
        <color rgb="FF000000"/>
      </right>
      <bottom style="medium">
        <color rgb="FF000000"/>
      </bottom>
    </border>
    <border>
      <left style="thick">
        <color rgb="FF000000"/>
      </left>
    </border>
    <border>
      <left style="medium">
        <color rgb="FF000000"/>
      </left>
      <right style="thin">
        <color rgb="FF000000"/>
      </right>
      <top style="medium">
        <color rgb="FF000000"/>
      </top>
      <bottom style="thin">
        <color rgb="FF000000"/>
      </bottom>
    </border>
    <border>
      <top style="medium">
        <color rgb="FF000000"/>
      </top>
      <bottom style="thin">
        <color rgb="FF000000"/>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border>
    <border>
      <left style="thin">
        <color rgb="FF000000"/>
      </left>
      <top style="thin">
        <color rgb="FF000000"/>
      </top>
      <bottom/>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right/>
      <bottom/>
    </border>
    <border>
      <left/>
      <right style="medium">
        <color rgb="FF000000"/>
      </right>
      <bottom/>
    </border>
    <border>
      <left style="medium">
        <color rgb="FF000000"/>
      </left>
      <right/>
      <top/>
    </border>
    <border>
      <left/>
      <right/>
      <top/>
    </border>
    <border>
      <left style="medium">
        <color rgb="FF000000"/>
      </left>
      <bottom/>
    </border>
    <border>
      <left style="medium">
        <color rgb="FF000000"/>
      </left>
      <top/>
      <bottom/>
    </border>
    <border>
      <top/>
      <bottom/>
    </border>
    <border>
      <right style="medium">
        <color rgb="FF000000"/>
      </right>
      <top/>
      <bottom/>
    </border>
    <border>
      <left style="medium">
        <color rgb="FF000000"/>
      </left>
      <right style="medium">
        <color rgb="FF000000"/>
      </right>
      <top/>
      <bottom/>
    </border>
    <border>
      <left/>
      <right style="medium">
        <color rgb="FF000000"/>
      </right>
      <top/>
    </border>
    <border>
      <right style="medium">
        <color rgb="FF000000"/>
      </right>
      <bottom/>
    </border>
    <border>
      <left style="medium">
        <color rgb="FF000000"/>
      </left>
      <top style="medium">
        <color rgb="FFD8D8D8"/>
      </top>
      <bottom style="medium">
        <color rgb="FFD8D8D8"/>
      </bottom>
    </border>
    <border>
      <right style="medium">
        <color rgb="FF000000"/>
      </right>
      <top style="medium">
        <color rgb="FFD8D8D8"/>
      </top>
      <bottom style="medium">
        <color rgb="FFD8D8D8"/>
      </bottom>
    </border>
    <border>
      <top style="medium">
        <color rgb="FF000000"/>
      </top>
      <bottom style="medium">
        <color rgb="FFD8D8D8"/>
      </bottom>
    </border>
    <border>
      <right style="medium">
        <color rgb="FF000000"/>
      </right>
      <top style="medium">
        <color rgb="FF000000"/>
      </top>
      <bottom style="medium">
        <color rgb="FFD8D8D8"/>
      </bottom>
    </border>
    <border>
      <right/>
      <top/>
      <bottom/>
    </border>
    <border>
      <top style="medium">
        <color rgb="FFD8D8D8"/>
      </top>
      <bottom style="medium">
        <color rgb="FFD8D8D8"/>
      </bottom>
    </border>
    <border>
      <left style="medium">
        <color rgb="FF000000"/>
      </left>
      <top style="medium">
        <color rgb="FFD8D8D8"/>
      </top>
      <bottom style="medium">
        <color rgb="FF000000"/>
      </bottom>
    </border>
    <border>
      <right style="medium">
        <color rgb="FF000000"/>
      </right>
      <top style="medium">
        <color rgb="FFD8D8D8"/>
      </top>
      <bottom style="medium">
        <color rgb="FF000000"/>
      </bottom>
    </border>
    <border>
      <top style="medium">
        <color rgb="FFD8D8D8"/>
      </top>
      <bottom style="medium">
        <color rgb="FF000000"/>
      </bottom>
    </border>
    <border>
      <left style="thin">
        <color rgb="FF000000"/>
      </left>
      <right style="thin">
        <color rgb="FF000000"/>
      </right>
      <top style="thin">
        <color rgb="FF000000"/>
      </top>
      <bottom style="thin">
        <color rgb="FF000000"/>
      </bottom>
    </border>
    <border>
      <right style="thin">
        <color rgb="FF000000"/>
      </right>
    </border>
    <border>
      <left style="thin">
        <color rgb="FF000000"/>
      </left>
      <right style="thin">
        <color rgb="FF000000"/>
      </right>
      <top style="thin">
        <color rgb="FF000000"/>
      </top>
    </border>
    <border>
      <top style="thin">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border>
    <border>
      <right style="thin">
        <color rgb="FF000000"/>
      </right>
      <top style="medium">
        <color rgb="FF000000"/>
      </top>
    </border>
    <border>
      <left style="thin">
        <color rgb="FF000000"/>
      </left>
      <bottom style="medium">
        <color rgb="FF000000"/>
      </bottom>
    </border>
    <border>
      <right style="thin">
        <color rgb="FF000000"/>
      </right>
      <bottom style="medium">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top style="thin">
        <color rgb="FF000000"/>
      </top>
      <bottom style="thin">
        <color rgb="FF000000"/>
      </bottom>
    </border>
    <border>
      <left style="thin">
        <color rgb="FF000000"/>
      </left>
      <right/>
      <top/>
      <bottom/>
    </border>
    <border>
      <left/>
      <right/>
      <top/>
      <bottom/>
    </border>
    <border>
      <left/>
      <top/>
      <bottom/>
    </border>
    <border>
      <left style="thin">
        <color rgb="FF000000"/>
      </left>
      <right/>
      <top style="thin">
        <color rgb="FF000000"/>
      </top>
      <bottom/>
    </border>
    <border>
      <left/>
      <right/>
      <top style="thin">
        <color rgb="FF000000"/>
      </top>
      <bottom/>
    </border>
    <border>
      <left/>
      <top style="thin">
        <color rgb="FF000000"/>
      </top>
      <bottom/>
    </border>
    <border>
      <left style="thin">
        <color rgb="FF000000"/>
      </left>
      <right/>
      <top/>
      <bottom style="thin">
        <color rgb="FF000000"/>
      </bottom>
    </border>
    <border>
      <left/>
      <right/>
      <top/>
      <bottom style="thin">
        <color rgb="FF000000"/>
      </bottom>
    </border>
    <border>
      <left/>
      <top/>
      <bottom style="thin">
        <color rgb="FF000000"/>
      </bottom>
    </border>
    <border>
      <left style="thin">
        <color rgb="FF000000"/>
      </left>
      <right/>
    </border>
    <border>
      <left/>
      <right/>
    </border>
    <border>
      <left/>
    </border>
    <border>
      <left/>
      <right style="thin">
        <color rgb="FF000000"/>
      </right>
      <top style="thin">
        <color rgb="FF000000"/>
      </top>
      <bottom style="thin">
        <color rgb="FF000000"/>
      </bottom>
    </border>
    <border>
      <left/>
      <right style="thin">
        <color rgb="FF000000"/>
      </right>
      <top/>
      <bottom/>
    </border>
    <border>
      <left/>
      <right style="thin">
        <color rgb="FF000000"/>
      </right>
      <top style="thin">
        <color rgb="FF000000"/>
      </top>
      <bottom/>
    </border>
    <border>
      <left/>
      <right style="thin">
        <color rgb="FF000000"/>
      </right>
      <top/>
      <bottom style="thin">
        <color rgb="FF000000"/>
      </bottom>
    </border>
    <border>
      <left/>
      <right style="thin">
        <color rgb="FF000000"/>
      </right>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top style="thin">
        <color rgb="FF000000"/>
      </top>
    </border>
    <border>
      <left/>
      <right/>
      <top style="thin">
        <color rgb="FF000000"/>
      </top>
    </border>
    <border>
      <left/>
      <right style="thin">
        <color rgb="FF000000"/>
      </right>
      <top style="thin">
        <color rgb="FF000000"/>
      </top>
    </border>
    <border>
      <right/>
      <top style="thin">
        <color rgb="FF000000"/>
      </top>
      <bottom/>
    </border>
    <border>
      <left style="thin">
        <color rgb="FF000000"/>
      </left>
      <top/>
      <bottom/>
    </border>
    <border>
      <left style="thin">
        <color rgb="FF000000"/>
      </left>
      <top/>
      <bottom style="thin">
        <color rgb="FF000000"/>
      </bottom>
    </border>
    <border>
      <right/>
      <top/>
      <bottom style="thin">
        <color rgb="FF000000"/>
      </bottom>
    </border>
    <border>
      <right/>
    </border>
    <border>
      <left style="thin">
        <color rgb="FF000000"/>
      </left>
      <right style="thin">
        <color rgb="FF000000"/>
      </right>
    </border>
    <border>
      <left style="thin">
        <color rgb="FF000000"/>
      </left>
      <right style="thin">
        <color rgb="FF000000"/>
      </right>
      <bottom style="thin">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right style="thick">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58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1" numFmtId="0" xfId="0" applyAlignment="1" applyBorder="1" applyFont="1">
      <alignment horizontal="left" vertical="center"/>
    </xf>
    <xf borderId="5" fillId="0" fontId="2" numFmtId="0" xfId="0" applyBorder="1" applyFont="1"/>
    <xf borderId="6" fillId="2" fontId="1" numFmtId="0" xfId="0" applyAlignment="1" applyBorder="1" applyFont="1">
      <alignment horizontal="left" vertical="center"/>
    </xf>
    <xf borderId="7" fillId="0" fontId="2" numFmtId="0" xfId="0" applyBorder="1" applyFont="1"/>
    <xf borderId="4" fillId="2" fontId="1" numFmtId="0" xfId="0" applyAlignment="1" applyBorder="1" applyFont="1">
      <alignment horizontal="left"/>
    </xf>
    <xf borderId="8" fillId="0" fontId="2" numFmtId="0" xfId="0" applyBorder="1" applyFont="1"/>
    <xf borderId="9" fillId="0" fontId="2" numFmtId="0" xfId="0" applyBorder="1" applyFont="1"/>
    <xf borderId="10" fillId="2" fontId="0" numFmtId="0" xfId="0" applyAlignment="1" applyBorder="1" applyFont="1">
      <alignment horizontal="left" readingOrder="0"/>
    </xf>
    <xf borderId="11" fillId="0" fontId="2" numFmtId="0" xfId="0" applyBorder="1" applyFont="1"/>
    <xf borderId="12" fillId="0" fontId="2" numFmtId="0" xfId="0" applyBorder="1" applyFont="1"/>
    <xf borderId="13" fillId="2" fontId="0" numFmtId="164" xfId="0" applyAlignment="1" applyBorder="1" applyFont="1" applyNumberFormat="1">
      <alignment horizontal="left" readingOrder="0"/>
    </xf>
    <xf borderId="14" fillId="2" fontId="0" numFmtId="0" xfId="0" applyAlignment="1" applyBorder="1" applyFont="1">
      <alignment horizontal="left"/>
    </xf>
    <xf borderId="15" fillId="2" fontId="0" numFmtId="0" xfId="0" applyAlignment="1" applyBorder="1" applyFont="1">
      <alignment horizontal="center" shrinkToFit="0" vertical="center" wrapText="1"/>
    </xf>
    <xf borderId="16" fillId="0" fontId="2" numFmtId="0" xfId="0" applyBorder="1" applyFont="1"/>
    <xf borderId="17" fillId="2" fontId="1" numFmtId="0" xfId="0" applyBorder="1" applyFont="1"/>
    <xf borderId="18" fillId="2" fontId="0" numFmtId="0" xfId="0" applyAlignment="1" applyBorder="1" applyFont="1">
      <alignment horizontal="left"/>
    </xf>
    <xf borderId="6" fillId="2" fontId="0" numFmtId="0" xfId="0" applyAlignment="1" applyBorder="1" applyFont="1">
      <alignment horizontal="left"/>
    </xf>
    <xf borderId="15" fillId="2" fontId="0" numFmtId="0" xfId="0" applyAlignment="1" applyBorder="1" applyFont="1">
      <alignment horizontal="left" readingOrder="0" shrinkToFit="0" vertical="top" wrapText="1"/>
    </xf>
    <xf borderId="19" fillId="0" fontId="2" numFmtId="0" xfId="0" applyBorder="1" applyFont="1"/>
    <xf borderId="20" fillId="0" fontId="2" numFmtId="0" xfId="0" applyBorder="1" applyFont="1"/>
    <xf borderId="21" fillId="0" fontId="2" numFmtId="0" xfId="0" applyBorder="1" applyFont="1"/>
    <xf borderId="22" fillId="0" fontId="2" numFmtId="0" xfId="0" applyBorder="1" applyFont="1"/>
    <xf borderId="17" fillId="2" fontId="0" numFmtId="0" xfId="0" applyBorder="1" applyFont="1"/>
    <xf borderId="18" fillId="2" fontId="0" numFmtId="0" xfId="0" applyBorder="1" applyFont="1"/>
    <xf borderId="6" fillId="2" fontId="0" numFmtId="0" xfId="0" applyBorder="1" applyFont="1"/>
    <xf borderId="23" fillId="2" fontId="0" numFmtId="0" xfId="0" applyBorder="1" applyFont="1"/>
    <xf borderId="24" fillId="2" fontId="0" numFmtId="0" xfId="0" applyBorder="1" applyFont="1"/>
    <xf borderId="25" fillId="2" fontId="0" numFmtId="0" xfId="0" applyBorder="1" applyFont="1"/>
    <xf borderId="4" fillId="2" fontId="0" numFmtId="0" xfId="0" applyAlignment="1" applyBorder="1" applyFont="1">
      <alignment horizontal="left"/>
    </xf>
    <xf borderId="26" fillId="0" fontId="2" numFmtId="0" xfId="0" applyBorder="1" applyFont="1"/>
    <xf borderId="15" fillId="2" fontId="0" numFmtId="0" xfId="0" applyAlignment="1" applyBorder="1" applyFont="1">
      <alignment horizontal="left" readingOrder="0" vertical="center"/>
    </xf>
    <xf borderId="17" fillId="2" fontId="0" numFmtId="0" xfId="0" applyAlignment="1" applyBorder="1" applyFont="1">
      <alignment horizontal="left"/>
    </xf>
    <xf borderId="10" fillId="2" fontId="0" numFmtId="0" xfId="0" applyAlignment="1" applyBorder="1" applyFont="1">
      <alignment horizontal="left" vertical="center"/>
    </xf>
    <xf borderId="27" fillId="0" fontId="2" numFmtId="0" xfId="0" applyBorder="1" applyFont="1"/>
    <xf borderId="1" fillId="2" fontId="1" numFmtId="0" xfId="0" applyAlignment="1" applyBorder="1" applyFont="1">
      <alignment horizontal="left" vertical="center"/>
    </xf>
    <xf borderId="28" fillId="2" fontId="1" numFmtId="0" xfId="0" applyAlignment="1" applyBorder="1" applyFont="1">
      <alignment horizontal="left" vertical="center"/>
    </xf>
    <xf borderId="1" fillId="2" fontId="1" numFmtId="0" xfId="0" applyAlignment="1" applyBorder="1" applyFont="1">
      <alignment horizontal="left" readingOrder="0" vertical="center"/>
    </xf>
    <xf borderId="29" fillId="2" fontId="1" numFmtId="0" xfId="0" applyAlignment="1" applyBorder="1" applyFont="1">
      <alignment horizontal="left" readingOrder="0" vertical="center"/>
    </xf>
    <xf borderId="30" fillId="0" fontId="2" numFmtId="0" xfId="0" applyBorder="1" applyFont="1"/>
    <xf borderId="31" fillId="0" fontId="2" numFmtId="0" xfId="0" applyBorder="1" applyFont="1"/>
    <xf borderId="32" fillId="2" fontId="1" numFmtId="0" xfId="0" applyAlignment="1" applyBorder="1" applyFont="1">
      <alignment horizontal="left"/>
    </xf>
    <xf borderId="33" fillId="2" fontId="0" numFmtId="164" xfId="0" applyAlignment="1" applyBorder="1" applyFont="1" applyNumberFormat="1">
      <alignment horizontal="center" readingOrder="0"/>
    </xf>
    <xf borderId="34" fillId="2" fontId="0" numFmtId="0" xfId="0" applyAlignment="1" applyBorder="1" applyFont="1">
      <alignment horizontal="left"/>
    </xf>
    <xf borderId="34" fillId="2" fontId="0" numFmtId="0" xfId="0" applyAlignment="1" applyBorder="1" applyFont="1">
      <alignment horizontal="left" readingOrder="0"/>
    </xf>
    <xf borderId="33" fillId="0" fontId="2" numFmtId="0" xfId="0" applyBorder="1" applyFont="1"/>
    <xf borderId="35" fillId="0" fontId="2" numFmtId="0" xfId="0" applyBorder="1" applyFont="1"/>
    <xf borderId="36" fillId="2" fontId="1" numFmtId="0" xfId="0" applyAlignment="1" applyBorder="1" applyFont="1">
      <alignment horizontal="left"/>
    </xf>
    <xf borderId="37" fillId="2" fontId="0" numFmtId="164" xfId="0" applyAlignment="1" applyBorder="1" applyFont="1" applyNumberFormat="1">
      <alignment horizontal="center" readingOrder="0"/>
    </xf>
    <xf borderId="38" fillId="2" fontId="0" numFmtId="0" xfId="0" applyAlignment="1" applyBorder="1" applyFont="1">
      <alignment horizontal="left" readingOrder="0" shrinkToFit="0" wrapText="1"/>
    </xf>
    <xf borderId="38" fillId="2" fontId="0" numFmtId="0" xfId="0" applyAlignment="1" applyBorder="1" applyFont="1">
      <alignment horizontal="left" readingOrder="0"/>
    </xf>
    <xf borderId="39" fillId="0" fontId="2" numFmtId="0" xfId="0" applyBorder="1" applyFont="1"/>
    <xf borderId="40" fillId="0" fontId="2" numFmtId="0" xfId="0" applyBorder="1" applyFont="1"/>
    <xf borderId="37" fillId="2" fontId="3" numFmtId="0" xfId="0" applyAlignment="1" applyBorder="1" applyFont="1">
      <alignment horizontal="center" readingOrder="0"/>
    </xf>
    <xf borderId="38" fillId="2" fontId="3" numFmtId="0" xfId="0" applyAlignment="1" applyBorder="1" applyFont="1">
      <alignment horizontal="left" readingOrder="0"/>
    </xf>
    <xf borderId="37" fillId="2" fontId="0" numFmtId="0" xfId="0" applyBorder="1" applyFont="1"/>
    <xf borderId="38" fillId="2" fontId="0" numFmtId="0" xfId="0" applyAlignment="1" applyBorder="1" applyFont="1">
      <alignment horizontal="center"/>
    </xf>
    <xf borderId="41" fillId="2" fontId="1" numFmtId="0" xfId="0" applyAlignment="1" applyBorder="1" applyFont="1">
      <alignment horizontal="left"/>
    </xf>
    <xf borderId="42" fillId="2" fontId="0" numFmtId="0" xfId="0" applyBorder="1" applyFont="1"/>
    <xf borderId="43" fillId="2" fontId="0" numFmtId="0" xfId="0" applyAlignment="1" applyBorder="1" applyFont="1">
      <alignment horizontal="center"/>
    </xf>
    <xf borderId="44" fillId="0" fontId="2" numFmtId="0" xfId="0" applyBorder="1" applyFont="1"/>
    <xf borderId="45" fillId="0" fontId="2" numFmtId="0" xfId="0" applyBorder="1" applyFont="1"/>
    <xf borderId="17" fillId="2" fontId="1" numFmtId="0" xfId="0" applyAlignment="1" applyBorder="1" applyFont="1">
      <alignment horizontal="left"/>
    </xf>
    <xf borderId="46" fillId="2" fontId="0" numFmtId="0" xfId="0" applyAlignment="1" applyBorder="1" applyFont="1">
      <alignment horizontal="center"/>
    </xf>
    <xf borderId="46" fillId="2" fontId="4" numFmtId="0" xfId="0" applyBorder="1" applyFont="1"/>
    <xf borderId="47" fillId="2" fontId="4" numFmtId="0" xfId="0" applyBorder="1" applyFont="1"/>
    <xf borderId="48" fillId="2" fontId="5" numFmtId="0" xfId="0" applyAlignment="1" applyBorder="1" applyFont="1">
      <alignment horizontal="left"/>
    </xf>
    <xf borderId="49" fillId="2" fontId="0" numFmtId="0" xfId="0" applyAlignment="1" applyBorder="1" applyFont="1">
      <alignment horizontal="left"/>
    </xf>
    <xf borderId="24" fillId="2" fontId="0" numFmtId="0" xfId="0" applyAlignment="1" applyBorder="1" applyFont="1">
      <alignment horizontal="left"/>
    </xf>
    <xf borderId="28" fillId="2" fontId="0" numFmtId="0" xfId="0" applyAlignment="1" applyBorder="1" applyFont="1">
      <alignment horizontal="left" readingOrder="0" vertical="center"/>
    </xf>
    <xf borderId="26" fillId="2" fontId="0" numFmtId="0" xfId="0" applyAlignment="1" applyBorder="1" applyFont="1">
      <alignment horizontal="left" readingOrder="0" vertical="center"/>
    </xf>
    <xf borderId="50" fillId="2" fontId="0" numFmtId="0" xfId="0" applyAlignment="1" applyBorder="1" applyFont="1">
      <alignment horizontal="left" readingOrder="0"/>
    </xf>
    <xf borderId="51" fillId="2" fontId="0" numFmtId="0" xfId="0" applyAlignment="1" applyBorder="1" applyFont="1">
      <alignment horizontal="left" readingOrder="0"/>
    </xf>
    <xf borderId="52" fillId="0" fontId="2" numFmtId="0" xfId="0" applyBorder="1" applyFont="1"/>
    <xf borderId="53" fillId="0" fontId="2" numFmtId="0" xfId="0" applyBorder="1" applyFont="1"/>
    <xf borderId="51" fillId="2" fontId="0" numFmtId="0" xfId="0" applyAlignment="1" applyBorder="1" applyFont="1">
      <alignment horizontal="left" readingOrder="0" vertical="center"/>
    </xf>
    <xf borderId="51" fillId="2" fontId="3" numFmtId="0" xfId="0" applyAlignment="1" applyBorder="1" applyFont="1">
      <alignment horizontal="left" readingOrder="0"/>
    </xf>
    <xf borderId="51" fillId="2" fontId="3" numFmtId="0" xfId="0" applyAlignment="1" applyBorder="1" applyFont="1">
      <alignment readingOrder="0"/>
    </xf>
    <xf borderId="51" fillId="2" fontId="3" numFmtId="0" xfId="0" applyAlignment="1" applyBorder="1" applyFont="1">
      <alignment horizontal="left" readingOrder="0" vertical="center"/>
    </xf>
    <xf borderId="54" fillId="2" fontId="3" numFmtId="0" xfId="0" applyAlignment="1" applyBorder="1" applyFont="1">
      <alignment horizontal="left" readingOrder="0" vertical="center"/>
    </xf>
    <xf borderId="50" fillId="2" fontId="3" numFmtId="0" xfId="0" applyAlignment="1" applyBorder="1" applyFont="1">
      <alignment horizontal="left" readingOrder="0"/>
    </xf>
    <xf borderId="10" fillId="2" fontId="6" numFmtId="0" xfId="0" applyAlignment="1" applyBorder="1" applyFont="1">
      <alignment horizontal="left" vertical="center"/>
    </xf>
    <xf borderId="49" fillId="2" fontId="0" numFmtId="0" xfId="0" applyBorder="1" applyFont="1"/>
    <xf borderId="55" fillId="2" fontId="0" numFmtId="0" xfId="0" applyBorder="1" applyFont="1"/>
    <xf borderId="2" fillId="2" fontId="1" numFmtId="0" xfId="0" applyAlignment="1" applyBorder="1" applyFont="1">
      <alignment horizontal="left" readingOrder="0" vertical="center"/>
    </xf>
    <xf borderId="50" fillId="0" fontId="2" numFmtId="0" xfId="0" applyBorder="1" applyFont="1"/>
    <xf borderId="56" fillId="0" fontId="2" numFmtId="0" xfId="0" applyBorder="1" applyFont="1"/>
    <xf borderId="4" fillId="2" fontId="0" numFmtId="0" xfId="0" applyAlignment="1" applyBorder="1" applyFont="1">
      <alignment horizontal="left" shrinkToFit="0" vertical="center" wrapText="1"/>
    </xf>
    <xf borderId="50" fillId="2" fontId="0" numFmtId="0" xfId="0" applyAlignment="1" applyBorder="1" applyFont="1">
      <alignment horizontal="left" readingOrder="0" vertical="center"/>
    </xf>
    <xf borderId="57" fillId="2" fontId="0" numFmtId="164" xfId="0" applyAlignment="1" applyBorder="1" applyFont="1" applyNumberFormat="1">
      <alignment horizontal="left" readingOrder="0" vertical="center"/>
    </xf>
    <xf borderId="58" fillId="0" fontId="2" numFmtId="0" xfId="0" applyBorder="1" applyFont="1"/>
    <xf borderId="59" fillId="2" fontId="0" numFmtId="0" xfId="0" applyAlignment="1" applyBorder="1" applyFont="1">
      <alignment horizontal="left" vertical="center"/>
    </xf>
    <xf borderId="59" fillId="0" fontId="2" numFmtId="0" xfId="0" applyBorder="1" applyFont="1"/>
    <xf borderId="60" fillId="0" fontId="2" numFmtId="0" xfId="0" applyBorder="1" applyFont="1"/>
    <xf borderId="51" fillId="2" fontId="0" numFmtId="0" xfId="0" applyAlignment="1" applyBorder="1" applyFont="1">
      <alignment horizontal="left" shrinkToFit="0" vertical="center" wrapText="1"/>
    </xf>
    <xf borderId="61" fillId="0" fontId="2" numFmtId="0" xfId="0" applyBorder="1" applyFont="1"/>
    <xf borderId="51" fillId="2" fontId="0" numFmtId="0" xfId="0" applyAlignment="1" applyBorder="1" applyFont="1">
      <alignment horizontal="left" vertical="center"/>
    </xf>
    <xf borderId="62" fillId="2" fontId="0" numFmtId="0" xfId="0" applyAlignment="1" applyBorder="1" applyFont="1">
      <alignment horizontal="left" vertical="center"/>
    </xf>
    <xf borderId="62" fillId="0" fontId="2" numFmtId="0" xfId="0" applyBorder="1" applyFont="1"/>
    <xf borderId="62" fillId="2" fontId="0" numFmtId="0" xfId="0" applyAlignment="1" applyBorder="1" applyFont="1">
      <alignment horizontal="left" readingOrder="0" vertical="center"/>
    </xf>
    <xf borderId="10" fillId="2" fontId="0" numFmtId="0" xfId="0" applyAlignment="1" applyBorder="1" applyFont="1">
      <alignment horizontal="left" shrinkToFit="0" vertical="center" wrapText="1"/>
    </xf>
    <xf borderId="63" fillId="2" fontId="0" numFmtId="164" xfId="0" applyAlignment="1" applyBorder="1" applyFont="1" applyNumberFormat="1">
      <alignment horizontal="left" readingOrder="0" vertical="center"/>
    </xf>
    <xf borderId="64" fillId="0" fontId="2" numFmtId="0" xfId="0" applyBorder="1" applyFont="1"/>
    <xf borderId="65" fillId="2" fontId="0" numFmtId="0" xfId="0" applyAlignment="1" applyBorder="1" applyFont="1">
      <alignment horizontal="left" readingOrder="0" vertical="center"/>
    </xf>
    <xf borderId="65" fillId="0" fontId="2" numFmtId="0" xfId="0" applyBorder="1" applyFont="1"/>
    <xf borderId="0" fillId="0" fontId="7" numFmtId="0" xfId="0" applyFont="1"/>
    <xf borderId="0" fillId="0" fontId="0" numFmtId="0" xfId="0" applyAlignment="1" applyFont="1">
      <alignment readingOrder="0"/>
    </xf>
    <xf borderId="0" fillId="0" fontId="0" numFmtId="49" xfId="0" applyAlignment="1" applyFont="1" applyNumberFormat="1">
      <alignment horizontal="center"/>
    </xf>
    <xf borderId="0" fillId="0" fontId="2" numFmtId="49" xfId="0" applyFont="1" applyNumberFormat="1"/>
    <xf borderId="0" fillId="0" fontId="2" numFmtId="0" xfId="0" applyFont="1"/>
    <xf borderId="0" fillId="0" fontId="0" numFmtId="49" xfId="0" applyAlignment="1" applyFont="1" applyNumberFormat="1">
      <alignment horizontal="center" readingOrder="0"/>
    </xf>
    <xf borderId="0" fillId="0" fontId="0" numFmtId="0" xfId="0" applyAlignment="1" applyFont="1">
      <alignment horizontal="center"/>
    </xf>
    <xf borderId="66" fillId="3" fontId="0" numFmtId="0" xfId="0" applyAlignment="1" applyBorder="1" applyFill="1" applyFont="1">
      <alignment horizontal="center"/>
    </xf>
    <xf borderId="66" fillId="0" fontId="0" numFmtId="49" xfId="0" applyAlignment="1" applyBorder="1" applyFont="1" applyNumberFormat="1">
      <alignment horizontal="center"/>
    </xf>
    <xf borderId="66" fillId="0" fontId="8" numFmtId="0" xfId="0" applyAlignment="1" applyBorder="1" applyFont="1">
      <alignment horizontal="center"/>
    </xf>
    <xf borderId="0" fillId="0" fontId="2" numFmtId="0" xfId="0" applyAlignment="1" applyFont="1">
      <alignment readingOrder="0"/>
    </xf>
    <xf borderId="66" fillId="0" fontId="2" numFmtId="0" xfId="0" applyBorder="1" applyFont="1"/>
    <xf borderId="66" fillId="0" fontId="9" numFmtId="0" xfId="0" applyAlignment="1" applyBorder="1" applyFont="1">
      <alignment horizontal="center"/>
    </xf>
    <xf borderId="66" fillId="0" fontId="10" numFmtId="0" xfId="0" applyAlignment="1" applyBorder="1" applyFont="1">
      <alignment horizontal="center" readingOrder="0"/>
    </xf>
    <xf borderId="66" fillId="0" fontId="11" numFmtId="0" xfId="0" applyAlignment="1" applyBorder="1" applyFont="1">
      <alignment horizontal="center"/>
    </xf>
    <xf borderId="66" fillId="0" fontId="12" numFmtId="0" xfId="0" applyAlignment="1" applyBorder="1" applyFont="1">
      <alignment horizontal="center"/>
    </xf>
    <xf borderId="66" fillId="0" fontId="13" numFmtId="0" xfId="0" applyAlignment="1" applyBorder="1" applyFont="1">
      <alignment horizontal="center"/>
    </xf>
    <xf borderId="66" fillId="0" fontId="14" numFmtId="0" xfId="0" applyAlignment="1" applyBorder="1" applyFont="1">
      <alignment horizontal="center" readingOrder="0"/>
    </xf>
    <xf borderId="66" fillId="0" fontId="0" numFmtId="0" xfId="0" applyAlignment="1" applyBorder="1" applyFont="1">
      <alignment horizontal="center"/>
    </xf>
    <xf borderId="66" fillId="0" fontId="0" numFmtId="0" xfId="0" applyAlignment="1" applyBorder="1" applyFont="1">
      <alignment horizontal="center" readingOrder="0"/>
    </xf>
    <xf borderId="67" fillId="0" fontId="2" numFmtId="0" xfId="0" applyBorder="1" applyFont="1"/>
    <xf borderId="68" fillId="0" fontId="0" numFmtId="49" xfId="0" applyAlignment="1" applyBorder="1" applyFont="1" applyNumberFormat="1">
      <alignment horizontal="center"/>
    </xf>
    <xf borderId="68" fillId="0" fontId="0" numFmtId="0" xfId="0" applyAlignment="1" applyBorder="1" applyFont="1">
      <alignment horizontal="center"/>
    </xf>
    <xf borderId="68" fillId="0" fontId="8" numFmtId="0" xfId="0" applyAlignment="1" applyBorder="1" applyFont="1">
      <alignment horizontal="center"/>
    </xf>
    <xf borderId="0" fillId="0" fontId="12" numFmtId="0" xfId="0" applyAlignment="1" applyFont="1">
      <alignment horizontal="center"/>
    </xf>
    <xf borderId="69" fillId="0" fontId="0" numFmtId="49" xfId="0" applyAlignment="1" applyBorder="1" applyFont="1" applyNumberFormat="1">
      <alignment horizontal="center"/>
    </xf>
    <xf borderId="69" fillId="0" fontId="13" numFmtId="0" xfId="0" applyAlignment="1" applyBorder="1" applyFont="1">
      <alignment horizontal="center"/>
    </xf>
    <xf borderId="69" fillId="0" fontId="8" numFmtId="0" xfId="0" applyAlignment="1" applyBorder="1" applyFont="1">
      <alignment horizontal="center"/>
    </xf>
    <xf borderId="0" fillId="0" fontId="15" numFmtId="0" xfId="0" applyAlignment="1" applyFont="1">
      <alignment readingOrder="0"/>
    </xf>
    <xf borderId="0" fillId="0" fontId="2" numFmtId="0" xfId="0" applyAlignment="1" applyFont="1">
      <alignment readingOrder="0" shrinkToFit="0" wrapText="1"/>
    </xf>
    <xf borderId="0" fillId="0" fontId="2" numFmtId="0" xfId="0" applyAlignment="1" applyFont="1">
      <alignment horizontal="center" readingOrder="0" vertical="center"/>
    </xf>
    <xf borderId="66" fillId="3" fontId="0" numFmtId="0" xfId="0" applyAlignment="1" applyBorder="1" applyFont="1">
      <alignment horizontal="center" vertical="center"/>
    </xf>
    <xf borderId="66" fillId="3" fontId="0" numFmtId="0" xfId="0" applyAlignment="1" applyBorder="1" applyFont="1">
      <alignment horizontal="center" readingOrder="0" shrinkToFit="0" vertical="center" wrapText="1"/>
    </xf>
    <xf borderId="66" fillId="4" fontId="0" numFmtId="49" xfId="0" applyAlignment="1" applyBorder="1" applyFill="1" applyFont="1" applyNumberFormat="1">
      <alignment horizontal="center" vertical="center"/>
    </xf>
    <xf borderId="66" fillId="0" fontId="1" numFmtId="0" xfId="0" applyAlignment="1" applyBorder="1" applyFont="1">
      <alignment horizontal="center" vertical="center"/>
    </xf>
    <xf borderId="66" fillId="0" fontId="0" numFmtId="0" xfId="0" applyAlignment="1" applyBorder="1" applyFont="1">
      <alignment horizontal="center" readingOrder="0" vertical="center"/>
    </xf>
    <xf borderId="66" fillId="0" fontId="0" numFmtId="0" xfId="0" applyAlignment="1" applyBorder="1" applyFont="1">
      <alignment horizontal="center" vertical="center"/>
    </xf>
    <xf borderId="66" fillId="5" fontId="0" numFmtId="0" xfId="0" applyAlignment="1" applyBorder="1" applyFill="1" applyFont="1">
      <alignment horizontal="center" vertical="center"/>
    </xf>
    <xf borderId="66" fillId="0" fontId="1" numFmtId="0" xfId="0" applyAlignment="1" applyBorder="1" applyFont="1">
      <alignment horizontal="center" readingOrder="0" vertical="center"/>
    </xf>
    <xf borderId="66" fillId="6" fontId="0" numFmtId="49" xfId="0" applyAlignment="1" applyBorder="1" applyFill="1" applyFont="1" applyNumberFormat="1">
      <alignment horizontal="center" vertical="center"/>
    </xf>
    <xf borderId="66" fillId="7" fontId="0" numFmtId="0" xfId="0" applyAlignment="1" applyBorder="1" applyFill="1" applyFont="1">
      <alignment horizontal="center" readingOrder="0" vertical="center"/>
    </xf>
    <xf borderId="66" fillId="7" fontId="0" numFmtId="0" xfId="0" applyAlignment="1" applyBorder="1" applyFont="1">
      <alignment horizontal="center" vertical="center"/>
    </xf>
    <xf borderId="66" fillId="0" fontId="0" numFmtId="49" xfId="0" applyAlignment="1" applyBorder="1" applyFont="1" applyNumberFormat="1">
      <alignment horizontal="center" vertical="center"/>
    </xf>
    <xf borderId="0" fillId="8" fontId="2" numFmtId="0" xfId="0" applyAlignment="1" applyFill="1" applyFont="1">
      <alignment readingOrder="0"/>
    </xf>
    <xf borderId="0" fillId="8" fontId="2" numFmtId="0" xfId="0" applyFont="1"/>
    <xf borderId="0" fillId="8" fontId="2" numFmtId="0" xfId="0" applyAlignment="1" applyFont="1">
      <alignment horizontal="center"/>
    </xf>
    <xf borderId="66" fillId="3" fontId="0" numFmtId="0" xfId="0" applyAlignment="1" applyBorder="1" applyFont="1">
      <alignment horizontal="center" readingOrder="0" vertical="center"/>
    </xf>
    <xf borderId="66" fillId="0" fontId="0" numFmtId="49" xfId="0" applyAlignment="1" applyBorder="1" applyFont="1" applyNumberFormat="1">
      <alignment horizontal="center" readingOrder="0" vertical="center"/>
    </xf>
    <xf borderId="66" fillId="0" fontId="8" numFmtId="0" xfId="0" applyAlignment="1" applyBorder="1" applyFont="1">
      <alignment horizontal="center" vertical="center"/>
    </xf>
    <xf borderId="66" fillId="0" fontId="9" numFmtId="0" xfId="0" applyAlignment="1" applyBorder="1" applyFont="1">
      <alignment horizontal="center" readingOrder="0" vertical="center"/>
    </xf>
    <xf borderId="66" fillId="0" fontId="8" numFmtId="0" xfId="0" applyAlignment="1" applyBorder="1" applyFont="1">
      <alignment horizontal="center" readingOrder="0" vertical="center"/>
    </xf>
    <xf borderId="66" fillId="0" fontId="16" numFmtId="0" xfId="0" applyAlignment="1" applyBorder="1" applyFont="1">
      <alignment horizontal="center" readingOrder="0" vertical="center"/>
    </xf>
    <xf borderId="66" fillId="0" fontId="12" numFmtId="0" xfId="0" applyAlignment="1" applyBorder="1" applyFont="1">
      <alignment horizontal="center" vertical="center"/>
    </xf>
    <xf borderId="66" fillId="0" fontId="14" numFmtId="0" xfId="0" applyAlignment="1" applyBorder="1" applyFont="1">
      <alignment horizontal="center" vertical="center"/>
    </xf>
    <xf borderId="66" fillId="0" fontId="13" numFmtId="0" xfId="0" applyAlignment="1" applyBorder="1" applyFont="1">
      <alignment horizontal="center" readingOrder="0" vertical="center"/>
    </xf>
    <xf borderId="66" fillId="0" fontId="13" numFmtId="0" xfId="0" applyAlignment="1" applyBorder="1" applyFont="1">
      <alignment horizontal="center" vertical="center"/>
    </xf>
    <xf borderId="0" fillId="0" fontId="17" numFmtId="0" xfId="0" applyAlignment="1" applyFont="1">
      <alignment readingOrder="0"/>
    </xf>
    <xf borderId="0" fillId="0" fontId="18" numFmtId="0" xfId="0" applyAlignment="1" applyFont="1">
      <alignment readingOrder="0"/>
    </xf>
    <xf borderId="1" fillId="0" fontId="2" numFmtId="0" xfId="0" applyAlignment="1" applyBorder="1" applyFont="1">
      <alignment readingOrder="0" shrinkToFit="0" wrapText="1"/>
    </xf>
    <xf borderId="8" fillId="0" fontId="2" numFmtId="0" xfId="0" applyAlignment="1" applyBorder="1" applyFont="1">
      <alignment readingOrder="0" shrinkToFit="0" wrapText="1"/>
    </xf>
    <xf borderId="20" fillId="7" fontId="19" numFmtId="0" xfId="0" applyAlignment="1" applyBorder="1" applyFont="1">
      <alignment readingOrder="0"/>
    </xf>
    <xf borderId="21" fillId="0" fontId="17" numFmtId="0" xfId="0" applyAlignment="1" applyBorder="1" applyFont="1">
      <alignment readingOrder="0"/>
    </xf>
    <xf borderId="1" fillId="0" fontId="2" numFmtId="0" xfId="0" applyBorder="1" applyFont="1"/>
    <xf borderId="2" fillId="0" fontId="2" numFmtId="0" xfId="0" applyAlignment="1" applyBorder="1" applyFont="1">
      <alignment readingOrder="0"/>
    </xf>
    <xf borderId="2" fillId="0" fontId="2" numFmtId="0" xfId="0" applyAlignment="1" applyBorder="1" applyFont="1">
      <alignment readingOrder="0" shrinkToFit="0" wrapText="1"/>
    </xf>
    <xf borderId="0" fillId="0" fontId="20" numFmtId="0" xfId="0" applyAlignment="1" applyFont="1">
      <alignment readingOrder="0" vertical="center"/>
    </xf>
    <xf borderId="0" fillId="0" fontId="20" numFmtId="0" xfId="0" applyAlignment="1" applyFont="1">
      <alignment readingOrder="0" shrinkToFit="0" vertical="center" wrapText="1"/>
    </xf>
    <xf borderId="0" fillId="0" fontId="20" numFmtId="0" xfId="0" applyAlignment="1" applyFont="1">
      <alignment vertical="center"/>
    </xf>
    <xf borderId="0" fillId="0" fontId="20" numFmtId="0" xfId="0" applyAlignment="1" applyFont="1">
      <alignment shrinkToFit="0" vertical="center" wrapText="1"/>
    </xf>
    <xf borderId="0" fillId="0" fontId="2" numFmtId="0" xfId="0" applyAlignment="1" applyFont="1">
      <alignment vertical="center"/>
    </xf>
    <xf borderId="0" fillId="0" fontId="2" numFmtId="0" xfId="0" applyAlignment="1" applyFont="1">
      <alignment shrinkToFit="0" vertical="center" wrapText="1"/>
    </xf>
    <xf borderId="0" fillId="0" fontId="21" numFmtId="0" xfId="0" applyAlignment="1" applyFont="1">
      <alignment readingOrder="0" vertical="center"/>
    </xf>
    <xf borderId="0" fillId="0" fontId="21" numFmtId="0" xfId="0" applyAlignment="1" applyFont="1">
      <alignment shrinkToFit="0" vertical="center" wrapText="1"/>
    </xf>
    <xf borderId="0" fillId="0" fontId="21" numFmtId="0" xfId="0" applyAlignment="1" applyFont="1">
      <alignment vertical="center"/>
    </xf>
    <xf borderId="0" fillId="0" fontId="2" numFmtId="0" xfId="0" applyAlignment="1" applyFont="1">
      <alignment readingOrder="0" vertical="center"/>
    </xf>
    <xf borderId="0" fillId="0" fontId="2" numFmtId="0" xfId="0" applyAlignment="1" applyFont="1">
      <alignment readingOrder="0" shrinkToFit="0" vertical="center" wrapText="1"/>
    </xf>
    <xf borderId="0" fillId="0" fontId="22" numFmtId="0" xfId="0" applyAlignment="1" applyFont="1">
      <alignment readingOrder="0" vertical="center"/>
    </xf>
    <xf borderId="0" fillId="0" fontId="22" numFmtId="0" xfId="0" applyAlignment="1" applyFont="1">
      <alignment readingOrder="0" shrinkToFit="0" vertical="center" wrapText="1"/>
    </xf>
    <xf borderId="0" fillId="0" fontId="23" numFmtId="0" xfId="0" applyAlignment="1" applyFont="1">
      <alignment vertical="center"/>
    </xf>
    <xf borderId="0" fillId="0" fontId="23" numFmtId="0" xfId="0" applyAlignment="1" applyFont="1">
      <alignment readingOrder="0" vertical="center"/>
    </xf>
    <xf borderId="0" fillId="0" fontId="23" numFmtId="0" xfId="0" applyAlignment="1" applyFont="1">
      <alignment readingOrder="0" shrinkToFit="0" vertical="center" wrapText="1"/>
    </xf>
    <xf borderId="0" fillId="0" fontId="24" numFmtId="0" xfId="0" applyAlignment="1" applyFont="1">
      <alignment vertical="center"/>
    </xf>
    <xf borderId="0" fillId="0" fontId="24" numFmtId="0" xfId="0" applyAlignment="1" applyFont="1">
      <alignment shrinkToFit="0" vertical="center" wrapText="1"/>
    </xf>
    <xf borderId="0" fillId="0" fontId="24" numFmtId="0" xfId="0" applyAlignment="1" applyFont="1">
      <alignment readingOrder="0" vertical="center"/>
    </xf>
    <xf borderId="0" fillId="0" fontId="25" numFmtId="0" xfId="0" applyAlignment="1" applyFont="1">
      <alignment vertical="center"/>
    </xf>
    <xf borderId="0" fillId="0" fontId="25" numFmtId="0" xfId="0" applyAlignment="1" applyFont="1">
      <alignment shrinkToFit="0" vertical="center" wrapText="1"/>
    </xf>
    <xf borderId="0" fillId="0" fontId="25" numFmtId="0" xfId="0" applyAlignment="1" applyFont="1">
      <alignment readingOrder="0" vertical="center"/>
    </xf>
    <xf borderId="0" fillId="0" fontId="25" numFmtId="0" xfId="0" applyAlignment="1" applyFont="1">
      <alignment readingOrder="0" shrinkToFit="0" vertical="center" wrapText="1"/>
    </xf>
    <xf borderId="0" fillId="0" fontId="26" numFmtId="0" xfId="0" applyAlignment="1" applyFont="1">
      <alignment vertical="center"/>
    </xf>
    <xf borderId="0" fillId="0" fontId="26" numFmtId="0" xfId="0" applyAlignment="1" applyFont="1">
      <alignment shrinkToFit="0" vertical="center" wrapText="1"/>
    </xf>
    <xf borderId="0" fillId="0" fontId="26" numFmtId="0" xfId="0" applyAlignment="1" applyFont="1">
      <alignment readingOrder="0" vertical="center"/>
    </xf>
    <xf borderId="1" fillId="0" fontId="0" numFmtId="0" xfId="0" applyAlignment="1" applyBorder="1" applyFont="1">
      <alignment horizontal="left" shrinkToFit="0" vertical="center" wrapText="1"/>
    </xf>
    <xf borderId="2" fillId="0" fontId="0" numFmtId="0" xfId="0" applyAlignment="1" applyBorder="1" applyFont="1">
      <alignment horizontal="left" shrinkToFit="0" vertical="center" wrapText="1"/>
    </xf>
    <xf borderId="3" fillId="0" fontId="0" numFmtId="0" xfId="0" applyAlignment="1" applyBorder="1" applyFont="1">
      <alignment horizontal="left" shrinkToFit="0" vertical="center" wrapText="1"/>
    </xf>
    <xf borderId="70" fillId="0" fontId="27" numFmtId="0" xfId="0" applyBorder="1" applyFont="1"/>
    <xf borderId="71" fillId="0" fontId="0" numFmtId="0" xfId="0" applyAlignment="1" applyBorder="1" applyFont="1">
      <alignment shrinkToFit="0" wrapText="1"/>
    </xf>
    <xf borderId="71" fillId="0" fontId="0" numFmtId="0" xfId="0" applyBorder="1" applyFont="1"/>
    <xf borderId="71" fillId="0" fontId="28" numFmtId="0" xfId="0" applyAlignment="1" applyBorder="1" applyFont="1">
      <alignment vertical="center"/>
    </xf>
    <xf borderId="71" fillId="0" fontId="0" numFmtId="0" xfId="0" applyAlignment="1" applyBorder="1" applyFont="1">
      <alignment horizontal="left"/>
    </xf>
    <xf borderId="2" fillId="0" fontId="0" numFmtId="0" xfId="0" applyAlignment="1" applyBorder="1" applyFont="1">
      <alignment horizontal="left"/>
    </xf>
    <xf borderId="3" fillId="0" fontId="0" numFmtId="0" xfId="0" applyAlignment="1" applyBorder="1" applyFont="1">
      <alignment horizontal="left"/>
    </xf>
    <xf borderId="2" fillId="0" fontId="17" numFmtId="0" xfId="0" applyAlignment="1" applyBorder="1" applyFont="1">
      <alignment horizontal="center" readingOrder="0"/>
    </xf>
    <xf borderId="1" fillId="0" fontId="0" numFmtId="0" xfId="0" applyBorder="1" applyFont="1"/>
    <xf borderId="2" fillId="0" fontId="0" numFmtId="0" xfId="0" applyAlignment="1" applyBorder="1" applyFont="1">
      <alignment shrinkToFit="0" wrapText="1"/>
    </xf>
    <xf borderId="2" fillId="0" fontId="0" numFmtId="0" xfId="0" applyBorder="1" applyFont="1"/>
    <xf borderId="2" fillId="0" fontId="29" numFmtId="0" xfId="0" applyAlignment="1" applyBorder="1" applyFont="1">
      <alignment vertical="center"/>
    </xf>
    <xf borderId="3" fillId="0" fontId="30" numFmtId="0" xfId="0" applyAlignment="1" applyBorder="1" applyFont="1">
      <alignment vertical="center"/>
    </xf>
    <xf borderId="71" fillId="0" fontId="17" numFmtId="0" xfId="0" applyAlignment="1" applyBorder="1" applyFont="1">
      <alignment horizontal="center" readingOrder="0"/>
    </xf>
    <xf borderId="71" fillId="0" fontId="2" numFmtId="0" xfId="0" applyBorder="1" applyFont="1"/>
    <xf borderId="72" fillId="0" fontId="2" numFmtId="0" xfId="0" applyBorder="1" applyFont="1"/>
    <xf borderId="8" fillId="0" fontId="0" numFmtId="0" xfId="0" applyBorder="1" applyFont="1"/>
    <xf borderId="0" fillId="0" fontId="31" numFmtId="0" xfId="0" applyAlignment="1" applyFont="1">
      <alignment horizontal="left" shrinkToFit="0" wrapText="1"/>
    </xf>
    <xf borderId="0" fillId="0" fontId="32" numFmtId="0" xfId="0" applyAlignment="1" applyFont="1">
      <alignment horizontal="left"/>
    </xf>
    <xf borderId="0" fillId="0" fontId="33" numFmtId="0" xfId="0" applyAlignment="1" applyFont="1">
      <alignment horizontal="center"/>
    </xf>
    <xf borderId="0" fillId="0" fontId="34" numFmtId="0" xfId="0" applyAlignment="1" applyFont="1">
      <alignment horizontal="center" shrinkToFit="0" wrapText="1"/>
    </xf>
    <xf borderId="0" fillId="0" fontId="35" numFmtId="0" xfId="0" applyAlignment="1" applyFont="1">
      <alignment horizontal="center" readingOrder="0" vertical="center"/>
    </xf>
    <xf borderId="0" fillId="0" fontId="36" numFmtId="0" xfId="0" applyAlignment="1" applyFont="1">
      <alignment horizontal="center" vertical="center"/>
    </xf>
    <xf borderId="0" fillId="0" fontId="37" numFmtId="0" xfId="0" applyAlignment="1" applyFont="1">
      <alignment readingOrder="0" vertical="center"/>
    </xf>
    <xf borderId="73" fillId="0" fontId="17" numFmtId="0" xfId="0" applyAlignment="1" applyBorder="1" applyFont="1">
      <alignment horizontal="center" readingOrder="0"/>
    </xf>
    <xf borderId="0" fillId="0" fontId="17" numFmtId="0" xfId="0" applyAlignment="1" applyFont="1">
      <alignment horizontal="center" readingOrder="0"/>
    </xf>
    <xf borderId="74" fillId="0" fontId="17" numFmtId="0" xfId="0" applyAlignment="1" applyBorder="1" applyFont="1">
      <alignment horizontal="center" readingOrder="0"/>
    </xf>
    <xf borderId="9" fillId="0" fontId="17" numFmtId="0" xfId="0" applyAlignment="1" applyBorder="1" applyFont="1">
      <alignment horizontal="center" readingOrder="0"/>
    </xf>
    <xf borderId="8" fillId="0" fontId="27" numFmtId="0" xfId="0" applyBorder="1" applyFont="1"/>
    <xf borderId="0" fillId="0" fontId="27" numFmtId="0" xfId="0" applyAlignment="1" applyFont="1">
      <alignment horizontal="left" shrinkToFit="0" wrapText="1"/>
    </xf>
    <xf borderId="0" fillId="0" fontId="27" numFmtId="0" xfId="0" applyAlignment="1" applyFont="1">
      <alignment horizontal="left"/>
    </xf>
    <xf borderId="0" fillId="0" fontId="38" numFmtId="0" xfId="0" applyAlignment="1" applyFont="1">
      <alignment vertical="center"/>
    </xf>
    <xf borderId="0" fillId="0" fontId="39" numFmtId="0" xfId="0" applyAlignment="1" applyFont="1">
      <alignment horizontal="left" vertical="center"/>
    </xf>
    <xf borderId="0" fillId="0" fontId="40" numFmtId="0" xfId="0" applyFont="1"/>
    <xf borderId="0" fillId="0" fontId="2" numFmtId="0" xfId="0" applyFont="1"/>
    <xf borderId="73" fillId="0" fontId="2" numFmtId="0" xfId="0" applyAlignment="1" applyBorder="1" applyFont="1">
      <alignment horizontal="center"/>
    </xf>
    <xf borderId="0" fillId="0" fontId="2" numFmtId="0" xfId="0" applyAlignment="1" applyFont="1">
      <alignment horizontal="center"/>
    </xf>
    <xf borderId="67" fillId="0" fontId="2" numFmtId="0" xfId="0" applyAlignment="1" applyBorder="1" applyFont="1">
      <alignment horizontal="center"/>
    </xf>
    <xf borderId="9" fillId="0" fontId="2" numFmtId="0" xfId="0" applyAlignment="1" applyBorder="1" applyFont="1">
      <alignment horizontal="center"/>
    </xf>
    <xf borderId="8" fillId="0" fontId="0" numFmtId="0" xfId="0" applyAlignment="1" applyBorder="1" applyFont="1">
      <alignment vertical="center"/>
    </xf>
    <xf borderId="0" fillId="0" fontId="0" numFmtId="0" xfId="0" applyAlignment="1" applyFont="1">
      <alignment horizontal="center" shrinkToFit="0" vertical="center" wrapText="1"/>
    </xf>
    <xf borderId="0" fillId="0" fontId="0" numFmtId="0" xfId="0" applyAlignment="1" applyFont="1">
      <alignment horizontal="center" vertical="center"/>
    </xf>
    <xf borderId="0" fillId="0" fontId="0" numFmtId="0" xfId="0" applyAlignment="1" applyFont="1">
      <alignment horizontal="center" readingOrder="0" vertical="center"/>
    </xf>
    <xf borderId="0" fillId="0" fontId="0" numFmtId="0" xfId="0" applyAlignment="1" applyFont="1">
      <alignment horizontal="center" readingOrder="0" vertical="center"/>
    </xf>
    <xf borderId="73" fillId="0" fontId="2" numFmtId="0" xfId="0" applyAlignment="1" applyBorder="1" applyFont="1">
      <alignment horizontal="center" readingOrder="0"/>
    </xf>
    <xf borderId="0" fillId="0" fontId="2" numFmtId="165" xfId="0" applyAlignment="1" applyFont="1" applyNumberFormat="1">
      <alignment horizontal="center" readingOrder="0"/>
    </xf>
    <xf borderId="67" fillId="0" fontId="2" numFmtId="0" xfId="0" applyAlignment="1" applyBorder="1" applyFont="1">
      <alignment horizontal="center" readingOrder="0"/>
    </xf>
    <xf borderId="0" fillId="0" fontId="2" numFmtId="0" xfId="0" applyAlignment="1" applyFont="1">
      <alignment horizontal="center" readingOrder="0"/>
    </xf>
    <xf borderId="0" fillId="0" fontId="2" numFmtId="2" xfId="0" applyAlignment="1" applyFont="1" applyNumberFormat="1">
      <alignment horizontal="center" readingOrder="0"/>
    </xf>
    <xf borderId="9" fillId="0" fontId="2" numFmtId="0" xfId="0" applyAlignment="1" applyBorder="1" applyFont="1">
      <alignment horizontal="center" readingOrder="0"/>
    </xf>
    <xf borderId="0" fillId="0" fontId="0" numFmtId="0" xfId="0" applyAlignment="1" applyFont="1">
      <alignment horizontal="center" vertical="center"/>
    </xf>
    <xf borderId="0" fillId="0" fontId="0" numFmtId="0" xfId="0" applyAlignment="1" applyFont="1">
      <alignment horizontal="center" readingOrder="0" shrinkToFit="0" vertical="center" wrapText="1"/>
    </xf>
    <xf borderId="73" fillId="0" fontId="2" numFmtId="0" xfId="0" applyBorder="1" applyFont="1"/>
    <xf borderId="0" fillId="0" fontId="0" numFmtId="0" xfId="0" applyAlignment="1" applyFont="1">
      <alignment vertical="center"/>
    </xf>
    <xf borderId="0" fillId="0" fontId="3" numFmtId="0" xfId="0" applyAlignment="1" applyFont="1">
      <alignment horizontal="center" shrinkToFit="0" vertical="center" wrapText="1"/>
    </xf>
    <xf borderId="20" fillId="0" fontId="41" numFmtId="0" xfId="0" applyAlignment="1" applyBorder="1" applyFont="1">
      <alignment vertical="center"/>
    </xf>
    <xf borderId="21" fillId="0" fontId="42" numFmtId="0" xfId="0" applyAlignment="1" applyBorder="1" applyFont="1">
      <alignment shrinkToFit="0" vertical="center" wrapText="1"/>
    </xf>
    <xf borderId="21" fillId="0" fontId="43" numFmtId="0" xfId="0" applyAlignment="1" applyBorder="1" applyFont="1">
      <alignment vertical="center"/>
    </xf>
    <xf borderId="75" fillId="0" fontId="2" numFmtId="0" xfId="0" applyBorder="1" applyFont="1"/>
    <xf borderId="76" fillId="0" fontId="2" numFmtId="0" xfId="0" applyBorder="1" applyFont="1"/>
    <xf borderId="0" fillId="0" fontId="0" numFmtId="0" xfId="0" applyAlignment="1" applyFont="1">
      <alignment horizontal="left" shrinkToFit="0" wrapText="1"/>
    </xf>
    <xf borderId="0" fillId="0" fontId="0" numFmtId="0" xfId="0" applyAlignment="1" applyFont="1">
      <alignment horizontal="left"/>
    </xf>
    <xf borderId="70" fillId="0" fontId="44" numFmtId="0" xfId="0" applyAlignment="1" applyBorder="1" applyFont="1">
      <alignment horizontal="left"/>
    </xf>
    <xf borderId="8" fillId="0" fontId="0" numFmtId="0" xfId="0" applyAlignment="1" applyBorder="1" applyFont="1">
      <alignment horizontal="left"/>
    </xf>
    <xf borderId="77" fillId="9" fontId="1" numFmtId="0" xfId="0" applyAlignment="1" applyBorder="1" applyFill="1" applyFont="1">
      <alignment horizontal="left"/>
    </xf>
    <xf borderId="78" fillId="9" fontId="1" numFmtId="0" xfId="0" applyAlignment="1" applyBorder="1" applyFont="1">
      <alignment horizontal="left"/>
    </xf>
    <xf borderId="79" fillId="9" fontId="1" numFmtId="0" xfId="0" applyBorder="1" applyFont="1"/>
    <xf borderId="80" fillId="10" fontId="1" numFmtId="0" xfId="0" applyAlignment="1" applyBorder="1" applyFill="1" applyFont="1">
      <alignment horizontal="left"/>
    </xf>
    <xf borderId="81" fillId="10" fontId="0" numFmtId="0" xfId="0" applyAlignment="1" applyBorder="1" applyFont="1">
      <alignment horizontal="left"/>
    </xf>
    <xf borderId="82" fillId="10" fontId="0" numFmtId="0" xfId="0" applyAlignment="1" applyBorder="1" applyFont="1">
      <alignment horizontal="left" readingOrder="0"/>
    </xf>
    <xf borderId="83" fillId="3" fontId="1" numFmtId="0" xfId="0" applyAlignment="1" applyBorder="1" applyFont="1">
      <alignment horizontal="left"/>
    </xf>
    <xf borderId="84" fillId="3" fontId="0" numFmtId="0" xfId="0" applyAlignment="1" applyBorder="1" applyFont="1">
      <alignment horizontal="left"/>
    </xf>
    <xf borderId="85" fillId="3" fontId="0" numFmtId="0" xfId="0" applyAlignment="1" applyBorder="1" applyFont="1">
      <alignment horizontal="left" readingOrder="0"/>
    </xf>
    <xf borderId="86" fillId="3" fontId="1" numFmtId="0" xfId="0" applyAlignment="1" applyBorder="1" applyFont="1">
      <alignment horizontal="left"/>
    </xf>
    <xf borderId="87" fillId="3" fontId="0" numFmtId="0" xfId="0" applyAlignment="1" applyBorder="1" applyFont="1">
      <alignment horizontal="left"/>
    </xf>
    <xf borderId="88" fillId="3" fontId="0" numFmtId="0" xfId="0" applyAlignment="1" applyBorder="1" applyFont="1">
      <alignment horizontal="left" readingOrder="0"/>
    </xf>
    <xf borderId="89" fillId="3" fontId="1" numFmtId="0" xfId="0" applyAlignment="1" applyBorder="1" applyFont="1">
      <alignment horizontal="left" readingOrder="0"/>
    </xf>
    <xf borderId="90" fillId="3" fontId="0" numFmtId="0" xfId="0" applyAlignment="1" applyBorder="1" applyFont="1">
      <alignment horizontal="left"/>
    </xf>
    <xf borderId="90" fillId="3" fontId="0" numFmtId="0" xfId="0" applyAlignment="1" applyBorder="1" applyFont="1">
      <alignment horizontal="left" readingOrder="0"/>
    </xf>
    <xf borderId="91" fillId="3" fontId="0" numFmtId="0" xfId="0" applyAlignment="1" applyBorder="1" applyFont="1">
      <alignment horizontal="left" readingOrder="0"/>
    </xf>
    <xf borderId="81" fillId="3" fontId="0" numFmtId="0" xfId="0" applyAlignment="1" applyBorder="1" applyFont="1">
      <alignment horizontal="left"/>
    </xf>
    <xf borderId="82" fillId="3" fontId="0" numFmtId="0" xfId="0" applyAlignment="1" applyBorder="1" applyFont="1">
      <alignment horizontal="left" readingOrder="0"/>
    </xf>
    <xf borderId="84" fillId="3" fontId="0" numFmtId="0" xfId="0" applyAlignment="1" applyBorder="1" applyFont="1">
      <alignment horizontal="left" readingOrder="0"/>
    </xf>
    <xf borderId="85" fillId="3" fontId="0" numFmtId="0" xfId="0" applyAlignment="1" applyBorder="1" applyFont="1">
      <alignment horizontal="left"/>
    </xf>
    <xf borderId="87" fillId="3" fontId="0" numFmtId="0" xfId="0" applyAlignment="1" applyBorder="1" applyFont="1">
      <alignment horizontal="left" readingOrder="0"/>
    </xf>
    <xf borderId="88" fillId="3" fontId="0" numFmtId="0" xfId="0" applyAlignment="1" applyBorder="1" applyFont="1">
      <alignment horizontal="left"/>
    </xf>
    <xf borderId="20" fillId="0" fontId="0" numFmtId="0" xfId="0" applyAlignment="1" applyBorder="1" applyFont="1">
      <alignment horizontal="left"/>
    </xf>
    <xf borderId="21" fillId="0" fontId="0" numFmtId="0" xfId="0" applyAlignment="1" applyBorder="1" applyFont="1">
      <alignment horizontal="left" shrinkToFit="0" wrapText="1"/>
    </xf>
    <xf borderId="21" fillId="0" fontId="0" numFmtId="0" xfId="0" applyAlignment="1" applyBorder="1" applyFont="1">
      <alignment horizontal="left"/>
    </xf>
    <xf borderId="72" fillId="0" fontId="0" numFmtId="0" xfId="0" applyAlignment="1" applyBorder="1" applyFont="1">
      <alignment horizontal="left"/>
    </xf>
    <xf borderId="9" fillId="0" fontId="45" numFmtId="0" xfId="0" applyAlignment="1" applyBorder="1" applyFont="1">
      <alignment readingOrder="0" vertical="center"/>
    </xf>
    <xf borderId="9" fillId="0" fontId="46" numFmtId="0" xfId="0" applyAlignment="1" applyBorder="1" applyFont="1">
      <alignment vertical="center"/>
    </xf>
    <xf borderId="22" fillId="0" fontId="47" numFmtId="0" xfId="0" applyAlignment="1" applyBorder="1" applyFont="1">
      <alignment vertical="center"/>
    </xf>
    <xf borderId="0" fillId="0" fontId="0" numFmtId="0" xfId="0" applyAlignment="1" applyFont="1">
      <alignment horizontal="left" readingOrder="0"/>
    </xf>
    <xf borderId="9" fillId="0" fontId="0" numFmtId="0" xfId="0" applyAlignment="1" applyBorder="1" applyFont="1">
      <alignment horizontal="left"/>
    </xf>
    <xf borderId="92" fillId="9" fontId="1" numFmtId="0" xfId="0" applyBorder="1" applyFont="1"/>
    <xf borderId="93" fillId="10" fontId="0" numFmtId="0" xfId="0" applyAlignment="1" applyBorder="1" applyFont="1">
      <alignment horizontal="left" readingOrder="0"/>
    </xf>
    <xf borderId="94" fillId="3" fontId="0" numFmtId="0" xfId="0" applyAlignment="1" applyBorder="1" applyFont="1">
      <alignment horizontal="left" readingOrder="0"/>
    </xf>
    <xf borderId="95" fillId="3" fontId="0" numFmtId="0" xfId="0" applyAlignment="1" applyBorder="1" applyFont="1">
      <alignment horizontal="left" readingOrder="0"/>
    </xf>
    <xf borderId="96" fillId="3" fontId="0" numFmtId="0" xfId="0" applyAlignment="1" applyBorder="1" applyFont="1">
      <alignment horizontal="left" readingOrder="0"/>
    </xf>
    <xf borderId="93" fillId="3" fontId="0" numFmtId="0" xfId="0" applyAlignment="1" applyBorder="1" applyFont="1">
      <alignment horizontal="left" readingOrder="0"/>
    </xf>
    <xf borderId="94" fillId="3" fontId="0" numFmtId="0" xfId="0" applyAlignment="1" applyBorder="1" applyFont="1">
      <alignment horizontal="left"/>
    </xf>
    <xf borderId="95" fillId="3" fontId="0" numFmtId="0" xfId="0" applyAlignment="1" applyBorder="1" applyFont="1">
      <alignment horizontal="left"/>
    </xf>
    <xf borderId="22" fillId="0" fontId="0" numFmtId="0" xfId="0" applyAlignment="1" applyBorder="1" applyFont="1">
      <alignment horizontal="left"/>
    </xf>
    <xf borderId="97" fillId="0" fontId="2" numFmtId="0" xfId="0" applyBorder="1" applyFont="1"/>
    <xf borderId="69" fillId="0" fontId="2" numFmtId="0" xfId="0" applyBorder="1" applyFont="1"/>
    <xf borderId="69" fillId="0" fontId="2" numFmtId="0" xfId="0" applyAlignment="1" applyBorder="1" applyFont="1">
      <alignment readingOrder="0"/>
    </xf>
    <xf borderId="98" fillId="0" fontId="2" numFmtId="0" xfId="0" applyAlignment="1" applyBorder="1" applyFont="1">
      <alignment readingOrder="0"/>
    </xf>
    <xf borderId="70" fillId="0" fontId="27" numFmtId="0" xfId="0" applyAlignment="1" applyBorder="1" applyFont="1">
      <alignment readingOrder="0"/>
    </xf>
    <xf borderId="73" fillId="0" fontId="48" numFmtId="0" xfId="0" applyAlignment="1" applyBorder="1" applyFont="1">
      <alignment readingOrder="0" shrinkToFit="0" vertical="bottom" wrapText="0"/>
    </xf>
    <xf borderId="0" fillId="0" fontId="48" numFmtId="0" xfId="0" applyAlignment="1" applyFont="1">
      <alignment readingOrder="0" shrinkToFit="0" vertical="bottom" wrapText="0"/>
    </xf>
    <xf borderId="67" fillId="0" fontId="2" numFmtId="0" xfId="0" applyAlignment="1" applyBorder="1" applyFont="1">
      <alignment readingOrder="0"/>
    </xf>
    <xf borderId="73" fillId="0" fontId="48" numFmtId="166" xfId="0" applyAlignment="1" applyBorder="1" applyFont="1" applyNumberFormat="1">
      <alignment readingOrder="0" shrinkToFit="0" vertical="bottom" wrapText="0"/>
    </xf>
    <xf borderId="0" fillId="0" fontId="48" numFmtId="0" xfId="0" applyAlignment="1" applyFont="1">
      <alignment horizontal="right" readingOrder="0" shrinkToFit="0" vertical="bottom" wrapText="0"/>
    </xf>
    <xf borderId="67" fillId="0" fontId="48" numFmtId="165" xfId="0" applyAlignment="1" applyBorder="1" applyFont="1" applyNumberFormat="1">
      <alignment horizontal="right" readingOrder="0" shrinkToFit="0" vertical="bottom" wrapText="0"/>
    </xf>
    <xf borderId="0" fillId="11" fontId="17" numFmtId="0" xfId="0" applyAlignment="1" applyFill="1" applyFont="1">
      <alignment horizontal="center" readingOrder="0" shrinkToFit="0" vertical="center" wrapText="1"/>
    </xf>
    <xf borderId="73" fillId="11" fontId="48" numFmtId="166" xfId="0" applyAlignment="1" applyBorder="1" applyFont="1" applyNumberFormat="1">
      <alignment readingOrder="0" shrinkToFit="0" vertical="bottom" wrapText="0"/>
    </xf>
    <xf borderId="0" fillId="11" fontId="48" numFmtId="0" xfId="0" applyAlignment="1" applyFont="1">
      <alignment horizontal="right" readingOrder="0" shrinkToFit="0" vertical="bottom" wrapText="0"/>
    </xf>
    <xf borderId="67" fillId="11" fontId="48" numFmtId="165" xfId="0" applyAlignment="1" applyBorder="1" applyFont="1" applyNumberFormat="1">
      <alignment horizontal="right" readingOrder="0" shrinkToFit="0" vertical="bottom" wrapText="0"/>
    </xf>
    <xf borderId="0" fillId="0" fontId="0" numFmtId="166" xfId="0" applyAlignment="1" applyFont="1" applyNumberFormat="1">
      <alignment horizontal="center" readingOrder="0" vertical="center"/>
    </xf>
    <xf borderId="99" fillId="0" fontId="48" numFmtId="0" xfId="0" applyAlignment="1" applyBorder="1" applyFont="1">
      <alignment readingOrder="0" shrinkToFit="0" vertical="bottom" wrapText="0"/>
    </xf>
    <xf borderId="100" fillId="0" fontId="48" numFmtId="0" xfId="0" applyAlignment="1" applyBorder="1" applyFont="1">
      <alignment horizontal="right" readingOrder="0" shrinkToFit="0" vertical="bottom" wrapText="0"/>
    </xf>
    <xf borderId="101" fillId="0" fontId="48" numFmtId="165" xfId="0" applyAlignment="1" applyBorder="1" applyFont="1" applyNumberFormat="1">
      <alignment horizontal="right" readingOrder="0" shrinkToFit="0" vertical="bottom" wrapText="0"/>
    </xf>
    <xf borderId="0" fillId="0" fontId="48" numFmtId="166" xfId="0" applyAlignment="1" applyFont="1" applyNumberFormat="1">
      <alignment readingOrder="0" shrinkToFit="0" vertical="bottom" wrapText="0"/>
    </xf>
    <xf borderId="0" fillId="0" fontId="48" numFmtId="165" xfId="0" applyAlignment="1" applyFont="1" applyNumberFormat="1">
      <alignment horizontal="right" readingOrder="0" shrinkToFit="0" vertical="bottom" wrapText="0"/>
    </xf>
    <xf borderId="21" fillId="0" fontId="0" numFmtId="0" xfId="0" applyAlignment="1" applyBorder="1" applyFont="1">
      <alignment horizontal="center" readingOrder="0" shrinkToFit="0" vertical="center" wrapText="1"/>
    </xf>
    <xf borderId="21" fillId="0" fontId="0" numFmtId="0" xfId="0" applyAlignment="1" applyBorder="1" applyFont="1">
      <alignment horizontal="center" readingOrder="0" vertical="center"/>
    </xf>
    <xf borderId="21" fillId="0" fontId="0" numFmtId="166" xfId="0" applyAlignment="1" applyBorder="1" applyFont="1" applyNumberFormat="1">
      <alignment horizontal="center" readingOrder="0" vertical="center"/>
    </xf>
    <xf borderId="20" fillId="0" fontId="44" numFmtId="0" xfId="0" applyAlignment="1" applyBorder="1" applyFont="1">
      <alignment horizontal="left"/>
    </xf>
    <xf borderId="21" fillId="0" fontId="44" numFmtId="0" xfId="0" applyAlignment="1" applyBorder="1" applyFont="1">
      <alignment horizontal="left" readingOrder="0"/>
    </xf>
    <xf borderId="70" fillId="0" fontId="44" numFmtId="0" xfId="0" applyAlignment="1" applyBorder="1" applyFont="1">
      <alignment horizontal="left" readingOrder="0"/>
    </xf>
    <xf borderId="21" fillId="11" fontId="49" numFmtId="0" xfId="0" applyAlignment="1" applyBorder="1" applyFont="1">
      <alignment horizontal="center" readingOrder="0" vertical="center"/>
    </xf>
    <xf borderId="102" fillId="9" fontId="1" numFmtId="0" xfId="0" applyAlignment="1" applyBorder="1" applyFont="1">
      <alignment horizontal="left"/>
    </xf>
    <xf borderId="103" fillId="9" fontId="1" numFmtId="0" xfId="0" applyAlignment="1" applyBorder="1" applyFont="1">
      <alignment horizontal="left"/>
    </xf>
    <xf borderId="104" fillId="9" fontId="1" numFmtId="0" xfId="0" applyBorder="1" applyFont="1"/>
    <xf borderId="93" fillId="10" fontId="0" numFmtId="0" xfId="0" applyAlignment="1" applyBorder="1" applyFont="1">
      <alignment horizontal="left"/>
    </xf>
    <xf borderId="0" fillId="0" fontId="1" numFmtId="0" xfId="0" applyAlignment="1" applyFont="1">
      <alignment horizontal="center" readingOrder="0"/>
    </xf>
    <xf borderId="0" fillId="9" fontId="1" numFmtId="0" xfId="0" applyAlignment="1" applyFont="1">
      <alignment horizontal="left" readingOrder="0"/>
    </xf>
    <xf borderId="0" fillId="9" fontId="0" numFmtId="0" xfId="0" applyAlignment="1" applyFont="1">
      <alignment horizontal="left" readingOrder="0"/>
    </xf>
    <xf borderId="0" fillId="9" fontId="0" numFmtId="0" xfId="0" applyAlignment="1" applyFont="1">
      <alignment horizontal="left"/>
    </xf>
    <xf borderId="80" fillId="3" fontId="1" numFmtId="0" xfId="0" applyAlignment="1" applyBorder="1" applyFont="1">
      <alignment horizontal="left"/>
    </xf>
    <xf borderId="93" fillId="3" fontId="0" numFmtId="0" xfId="0" applyAlignment="1" applyBorder="1" applyFont="1">
      <alignment horizontal="left"/>
    </xf>
    <xf borderId="0" fillId="9" fontId="17" numFmtId="0" xfId="0" applyAlignment="1" applyFont="1">
      <alignment horizontal="left" readingOrder="0"/>
    </xf>
    <xf borderId="0" fillId="9" fontId="2" numFmtId="0" xfId="0" applyAlignment="1" applyFont="1">
      <alignment horizontal="left" readingOrder="0"/>
    </xf>
    <xf borderId="49" fillId="3" fontId="0" numFmtId="0" xfId="0" applyAlignment="1" applyBorder="1" applyFont="1">
      <alignment horizontal="left"/>
    </xf>
    <xf borderId="0" fillId="9" fontId="2" numFmtId="0" xfId="0" applyAlignment="1" applyFont="1">
      <alignment readingOrder="0"/>
    </xf>
    <xf borderId="0" fillId="9" fontId="48" numFmtId="165" xfId="0" applyAlignment="1" applyFont="1" applyNumberFormat="1">
      <alignment horizontal="left" readingOrder="0" shrinkToFit="0" vertical="bottom" wrapText="0"/>
    </xf>
    <xf borderId="42" fillId="3" fontId="1" numFmtId="0" xfId="0" applyAlignment="1" applyBorder="1" applyFont="1">
      <alignment horizontal="left"/>
    </xf>
    <xf borderId="69" fillId="3" fontId="0" numFmtId="0" xfId="0" applyAlignment="1" applyBorder="1" applyFont="1">
      <alignment horizontal="left"/>
    </xf>
    <xf borderId="105" fillId="3" fontId="0" numFmtId="0" xfId="0" applyAlignment="1" applyBorder="1" applyFont="1">
      <alignment horizontal="left"/>
    </xf>
    <xf borderId="106" fillId="3" fontId="1" numFmtId="0" xfId="0" applyAlignment="1" applyBorder="1" applyFont="1">
      <alignment horizontal="left"/>
    </xf>
    <xf borderId="0" fillId="3" fontId="0" numFmtId="0" xfId="0" applyAlignment="1" applyFont="1">
      <alignment horizontal="left"/>
    </xf>
    <xf borderId="61" fillId="3" fontId="0" numFmtId="0" xfId="0" applyAlignment="1" applyBorder="1" applyFont="1">
      <alignment horizontal="left"/>
    </xf>
    <xf borderId="0" fillId="3" fontId="2" numFmtId="0" xfId="0" applyAlignment="1" applyFont="1">
      <alignment readingOrder="0" shrinkToFit="0" wrapText="1"/>
    </xf>
    <xf borderId="0" fillId="3" fontId="0" numFmtId="2" xfId="0" applyAlignment="1" applyFont="1" applyNumberFormat="1">
      <alignment horizontal="left"/>
    </xf>
    <xf borderId="0" fillId="3" fontId="2" numFmtId="2" xfId="0" applyAlignment="1" applyFont="1" applyNumberFormat="1">
      <alignment horizontal="left"/>
    </xf>
    <xf borderId="107" fillId="3" fontId="1" numFmtId="0" xfId="0" applyAlignment="1" applyBorder="1" applyFont="1">
      <alignment horizontal="left"/>
    </xf>
    <xf borderId="100" fillId="3" fontId="0" numFmtId="0" xfId="0" applyAlignment="1" applyBorder="1" applyFont="1">
      <alignment horizontal="left"/>
    </xf>
    <xf borderId="108" fillId="3" fontId="0" numFmtId="0" xfId="0" applyAlignment="1" applyBorder="1" applyFont="1">
      <alignment horizontal="left"/>
    </xf>
    <xf borderId="46" fillId="3" fontId="0" numFmtId="0" xfId="0" applyAlignment="1" applyBorder="1" applyFont="1">
      <alignment horizontal="left"/>
    </xf>
    <xf borderId="0" fillId="10" fontId="2" numFmtId="0" xfId="0" applyAlignment="1" applyFont="1">
      <alignment readingOrder="0" shrinkToFit="0" wrapText="1"/>
    </xf>
    <xf borderId="0" fillId="10" fontId="0" numFmtId="0" xfId="0" applyAlignment="1" applyFont="1">
      <alignment horizontal="left"/>
    </xf>
    <xf borderId="0" fillId="11" fontId="48" numFmtId="166" xfId="0" applyAlignment="1" applyFont="1" applyNumberFormat="1">
      <alignment readingOrder="0" shrinkToFit="0" vertical="bottom" wrapText="0"/>
    </xf>
    <xf borderId="0" fillId="11" fontId="48" numFmtId="165" xfId="0" applyAlignment="1" applyFont="1" applyNumberFormat="1">
      <alignment horizontal="right" readingOrder="0" shrinkToFit="0" vertical="bottom" wrapText="0"/>
    </xf>
    <xf borderId="0" fillId="10" fontId="0" numFmtId="2" xfId="0" applyAlignment="1" applyFont="1" applyNumberFormat="1">
      <alignment horizontal="left"/>
    </xf>
    <xf borderId="0" fillId="10" fontId="2" numFmtId="2" xfId="0" applyAlignment="1" applyFont="1" applyNumberFormat="1">
      <alignment horizontal="left"/>
    </xf>
    <xf borderId="0" fillId="3" fontId="1" numFmtId="0" xfId="0" applyAlignment="1" applyFont="1">
      <alignment horizontal="left" readingOrder="0"/>
    </xf>
    <xf borderId="0" fillId="10" fontId="1" numFmtId="0" xfId="0" applyAlignment="1" applyFont="1">
      <alignment horizontal="left" readingOrder="0"/>
    </xf>
    <xf borderId="0" fillId="10" fontId="2" numFmtId="0" xfId="0" applyAlignment="1" applyFont="1">
      <alignment horizontal="left"/>
    </xf>
    <xf borderId="21" fillId="10" fontId="1" numFmtId="0" xfId="0" applyAlignment="1" applyBorder="1" applyFont="1">
      <alignment horizontal="left" readingOrder="0"/>
    </xf>
    <xf borderId="21" fillId="10" fontId="2" numFmtId="0" xfId="0" applyAlignment="1" applyBorder="1" applyFont="1">
      <alignment horizontal="left"/>
    </xf>
    <xf borderId="21" fillId="10" fontId="0" numFmtId="0" xfId="0" applyAlignment="1" applyBorder="1" applyFont="1">
      <alignment horizontal="left"/>
    </xf>
    <xf borderId="0" fillId="0" fontId="0" numFmtId="0" xfId="0" applyAlignment="1" applyFont="1">
      <alignment shrinkToFit="0" vertical="bottom" wrapText="1"/>
    </xf>
    <xf borderId="0" fillId="0" fontId="3" numFmtId="0" xfId="0" applyAlignment="1" applyFont="1">
      <alignment readingOrder="0" vertical="bottom"/>
    </xf>
    <xf borderId="0" fillId="0" fontId="3" numFmtId="0" xfId="0" applyAlignment="1" applyFont="1">
      <alignment vertical="bottom"/>
    </xf>
    <xf borderId="0" fillId="0" fontId="0" numFmtId="0" xfId="0" applyAlignment="1" applyFont="1">
      <alignment readingOrder="0" shrinkToFit="0" vertical="bottom" wrapText="1"/>
    </xf>
    <xf borderId="0" fillId="0" fontId="0" numFmtId="166" xfId="0" applyAlignment="1" applyFont="1" applyNumberFormat="1">
      <alignment horizontal="left" readingOrder="0" shrinkToFit="0" vertical="bottom" wrapText="1"/>
    </xf>
    <xf borderId="0" fillId="0" fontId="3" numFmtId="0" xfId="0" applyAlignment="1" applyFont="1">
      <alignment shrinkToFit="0" vertical="bottom" wrapText="1"/>
    </xf>
    <xf borderId="0" fillId="0" fontId="3" numFmtId="0" xfId="0" applyAlignment="1" applyFont="1">
      <alignment readingOrder="0" shrinkToFit="0" vertical="bottom" wrapText="1"/>
    </xf>
    <xf borderId="0" fillId="0" fontId="0" numFmtId="0" xfId="0" applyAlignment="1" applyFont="1">
      <alignment horizontal="left" shrinkToFit="0" vertical="center" wrapText="1"/>
    </xf>
    <xf borderId="0" fillId="0" fontId="50" numFmtId="0" xfId="0" applyAlignment="1" applyFont="1">
      <alignment horizontal="left" shrinkToFit="0" vertical="center" wrapText="1"/>
    </xf>
    <xf borderId="0" fillId="0" fontId="51" numFmtId="0" xfId="0" applyAlignment="1" applyFont="1">
      <alignment horizontal="left" vertical="center"/>
    </xf>
    <xf borderId="0" fillId="0" fontId="52" numFmtId="0" xfId="0" applyAlignment="1" applyFont="1">
      <alignment horizontal="center" vertical="center"/>
    </xf>
    <xf borderId="0" fillId="0" fontId="53" numFmtId="0" xfId="0" applyAlignment="1" applyFont="1">
      <alignment horizontal="center" shrinkToFit="0" vertical="center" wrapText="1"/>
    </xf>
    <xf borderId="0" fillId="0" fontId="54" numFmtId="0" xfId="0" applyAlignment="1" applyFont="1">
      <alignment readingOrder="0" shrinkToFit="0" vertical="center" wrapText="1"/>
    </xf>
    <xf borderId="0" fillId="0" fontId="0" numFmtId="0" xfId="0" applyAlignment="1" applyFont="1">
      <alignment shrinkToFit="0" vertical="center" wrapText="1"/>
    </xf>
    <xf borderId="9" fillId="0" fontId="0" numFmtId="0" xfId="0" applyAlignment="1" applyBorder="1" applyFont="1">
      <alignment shrinkToFit="0" vertical="center" wrapText="1"/>
    </xf>
    <xf borderId="0" fillId="0" fontId="0" numFmtId="0" xfId="0" applyAlignment="1" applyFont="1">
      <alignment horizontal="left" vertical="center"/>
    </xf>
    <xf borderId="0" fillId="0" fontId="0" numFmtId="0" xfId="0" applyAlignment="1" applyFont="1">
      <alignment horizontal="left" readingOrder="0" shrinkToFit="0" vertical="center" wrapText="1"/>
    </xf>
    <xf borderId="0" fillId="0" fontId="55" numFmtId="0" xfId="0" applyAlignment="1" applyFont="1">
      <alignment shrinkToFit="0" vertical="bottom" wrapText="1"/>
    </xf>
    <xf borderId="0" fillId="0" fontId="56" numFmtId="0" xfId="0" applyAlignment="1" applyFont="1">
      <alignment vertical="bottom"/>
    </xf>
    <xf borderId="0" fillId="0" fontId="57" numFmtId="0" xfId="0" applyAlignment="1" applyFont="1">
      <alignment horizontal="center" vertical="bottom"/>
    </xf>
    <xf borderId="0" fillId="0" fontId="4" numFmtId="0" xfId="0" applyAlignment="1" applyFont="1">
      <alignment vertical="bottom"/>
    </xf>
    <xf borderId="0" fillId="0" fontId="4" numFmtId="0" xfId="0" applyFont="1"/>
    <xf borderId="0" fillId="0" fontId="58" numFmtId="0" xfId="0" applyFont="1"/>
    <xf borderId="0" fillId="0" fontId="59" numFmtId="0" xfId="0" applyFont="1"/>
    <xf borderId="0" fillId="0" fontId="0" numFmtId="0" xfId="0" applyAlignment="1" applyFont="1">
      <alignment shrinkToFit="0" vertical="bottom" wrapText="1"/>
    </xf>
    <xf borderId="0" fillId="0" fontId="0" numFmtId="0" xfId="0" applyAlignment="1" applyFont="1">
      <alignment horizontal="center" readingOrder="0" vertical="bottom"/>
    </xf>
    <xf borderId="0" fillId="0" fontId="60" numFmtId="0" xfId="0" applyFont="1"/>
    <xf borderId="0" fillId="0" fontId="0" numFmtId="0" xfId="0" applyAlignment="1" applyFont="1">
      <alignment vertical="bottom"/>
    </xf>
    <xf borderId="0" fillId="0" fontId="4" numFmtId="0" xfId="0" applyAlignment="1" applyFont="1">
      <alignment vertical="bottom"/>
    </xf>
    <xf borderId="0" fillId="0" fontId="4" numFmtId="0" xfId="0" applyFont="1"/>
    <xf borderId="0" fillId="0" fontId="0" numFmtId="0" xfId="0" applyAlignment="1" applyFont="1">
      <alignment horizontal="center" shrinkToFit="0" vertical="bottom" wrapText="1"/>
    </xf>
    <xf borderId="109" fillId="0" fontId="0" numFmtId="0" xfId="0" applyAlignment="1" applyBorder="1" applyFont="1">
      <alignment shrinkToFit="0" wrapText="0"/>
    </xf>
    <xf borderId="0" fillId="0" fontId="0" numFmtId="0" xfId="0" applyAlignment="1" applyFont="1">
      <alignment horizontal="center" vertical="bottom"/>
    </xf>
    <xf borderId="109" fillId="0" fontId="4" numFmtId="0" xfId="0" applyAlignment="1" applyBorder="1" applyFont="1">
      <alignment vertical="bottom"/>
    </xf>
    <xf borderId="0" fillId="0" fontId="0" numFmtId="0" xfId="0" applyFont="1"/>
    <xf borderId="0" fillId="0" fontId="61" numFmtId="0" xfId="0" applyAlignment="1" applyFont="1">
      <alignment readingOrder="0" shrinkToFit="0" wrapText="1"/>
    </xf>
    <xf borderId="109" fillId="0" fontId="62" numFmtId="0" xfId="0" applyAlignment="1" applyBorder="1" applyFont="1">
      <alignment shrinkToFit="0" wrapText="0"/>
    </xf>
    <xf borderId="0" fillId="0" fontId="0" numFmtId="0" xfId="0" applyAlignment="1" applyFont="1">
      <alignment shrinkToFit="0" wrapText="1"/>
    </xf>
    <xf borderId="109" fillId="0" fontId="0" numFmtId="0" xfId="0" applyAlignment="1" applyBorder="1" applyFont="1">
      <alignment readingOrder="0" shrinkToFit="0" wrapText="0"/>
    </xf>
    <xf borderId="0" fillId="0" fontId="63" numFmtId="0" xfId="0" applyAlignment="1" applyFont="1">
      <alignment shrinkToFit="0" wrapText="1"/>
    </xf>
    <xf borderId="109" fillId="0" fontId="0" numFmtId="0" xfId="0" applyBorder="1" applyFont="1"/>
    <xf borderId="109" fillId="0" fontId="0" numFmtId="0" xfId="0" applyAlignment="1" applyBorder="1" applyFont="1">
      <alignment readingOrder="0" shrinkToFit="0" wrapText="1"/>
    </xf>
    <xf borderId="0" fillId="0" fontId="64" numFmtId="0" xfId="0" applyAlignment="1" applyFont="1">
      <alignment horizontal="left" readingOrder="0" shrinkToFit="0" vertical="center" wrapText="1"/>
    </xf>
    <xf borderId="83" fillId="9" fontId="1" numFmtId="0" xfId="0" applyAlignment="1" applyBorder="1" applyFont="1">
      <alignment horizontal="left"/>
    </xf>
    <xf borderId="84" fillId="9" fontId="1" numFmtId="0" xfId="0" applyAlignment="1" applyBorder="1" applyFont="1">
      <alignment horizontal="left"/>
    </xf>
    <xf borderId="94" fillId="9" fontId="1" numFmtId="0" xfId="0" applyBorder="1" applyFont="1"/>
    <xf borderId="80" fillId="10" fontId="0" numFmtId="0" xfId="0" applyAlignment="1" applyBorder="1" applyFont="1">
      <alignment horizontal="left"/>
    </xf>
    <xf borderId="80" fillId="10" fontId="0" numFmtId="0" xfId="0" applyAlignment="1" applyBorder="1" applyFont="1">
      <alignment horizontal="left" readingOrder="0"/>
    </xf>
    <xf borderId="81" fillId="10" fontId="0" numFmtId="167" xfId="0" applyAlignment="1" applyBorder="1" applyFont="1" applyNumberFormat="1">
      <alignment horizontal="left"/>
    </xf>
    <xf borderId="87" fillId="10" fontId="0" numFmtId="0" xfId="0" applyAlignment="1" applyBorder="1" applyFont="1">
      <alignment horizontal="left"/>
    </xf>
    <xf borderId="95" fillId="10" fontId="0" numFmtId="0" xfId="0" applyAlignment="1" applyBorder="1" applyFont="1">
      <alignment horizontal="left" readingOrder="0"/>
    </xf>
    <xf borderId="83" fillId="10" fontId="1" numFmtId="0" xfId="0" applyAlignment="1" applyBorder="1" applyFont="1">
      <alignment horizontal="left"/>
    </xf>
    <xf borderId="84" fillId="10" fontId="0" numFmtId="0" xfId="0" applyAlignment="1" applyBorder="1" applyFont="1">
      <alignment horizontal="left"/>
    </xf>
    <xf borderId="86" fillId="10" fontId="1" numFmtId="0" xfId="0" applyAlignment="1" applyBorder="1" applyFont="1">
      <alignment horizontal="left"/>
    </xf>
    <xf borderId="80" fillId="12" fontId="0" numFmtId="0" xfId="0" applyAlignment="1" applyBorder="1" applyFill="1" applyFont="1">
      <alignment horizontal="left" readingOrder="0"/>
    </xf>
    <xf borderId="81" fillId="12" fontId="0" numFmtId="0" xfId="0" applyAlignment="1" applyBorder="1" applyFont="1">
      <alignment horizontal="left"/>
    </xf>
    <xf borderId="81" fillId="12" fontId="0" numFmtId="0" xfId="0" applyAlignment="1" applyBorder="1" applyFont="1">
      <alignment horizontal="left" readingOrder="0"/>
    </xf>
    <xf borderId="93" fillId="12" fontId="0" numFmtId="0" xfId="0" applyAlignment="1" applyBorder="1" applyFont="1">
      <alignment horizontal="left" readingOrder="0"/>
    </xf>
    <xf borderId="83" fillId="12" fontId="1" numFmtId="0" xfId="0" applyAlignment="1" applyBorder="1" applyFont="1">
      <alignment horizontal="left"/>
    </xf>
    <xf borderId="84" fillId="12" fontId="0" numFmtId="0" xfId="0" applyAlignment="1" applyBorder="1" applyFont="1">
      <alignment horizontal="left"/>
    </xf>
    <xf borderId="84" fillId="12" fontId="0" numFmtId="0" xfId="0" applyAlignment="1" applyBorder="1" applyFont="1">
      <alignment horizontal="left" readingOrder="0"/>
    </xf>
    <xf borderId="94" fillId="12" fontId="0" numFmtId="0" xfId="0" applyAlignment="1" applyBorder="1" applyFont="1">
      <alignment horizontal="left" readingOrder="0"/>
    </xf>
    <xf borderId="86" fillId="12" fontId="1" numFmtId="0" xfId="0" applyAlignment="1" applyBorder="1" applyFont="1">
      <alignment horizontal="left"/>
    </xf>
    <xf borderId="87" fillId="12" fontId="0" numFmtId="0" xfId="0" applyAlignment="1" applyBorder="1" applyFont="1">
      <alignment horizontal="left"/>
    </xf>
    <xf borderId="87" fillId="12" fontId="0" numFmtId="0" xfId="0" applyAlignment="1" applyBorder="1" applyFont="1">
      <alignment horizontal="left" readingOrder="0"/>
    </xf>
    <xf borderId="95" fillId="12" fontId="0" numFmtId="0" xfId="0" applyAlignment="1" applyBorder="1" applyFont="1">
      <alignment horizontal="left" readingOrder="0"/>
    </xf>
    <xf borderId="83" fillId="3" fontId="1" numFmtId="0" xfId="0" applyAlignment="1" applyBorder="1" applyFont="1">
      <alignment horizontal="left" shrinkToFit="0" vertical="center" wrapText="1"/>
    </xf>
    <xf borderId="84" fillId="3" fontId="0" numFmtId="0" xfId="0" applyAlignment="1" applyBorder="1" applyFont="1">
      <alignment horizontal="left" vertical="center"/>
    </xf>
    <xf borderId="94" fillId="3" fontId="0" numFmtId="0" xfId="0" applyAlignment="1" applyBorder="1" applyFont="1">
      <alignment horizontal="left" vertical="center"/>
    </xf>
    <xf borderId="86" fillId="3" fontId="1" numFmtId="0" xfId="0" applyAlignment="1" applyBorder="1" applyFont="1">
      <alignment horizontal="left" shrinkToFit="0" vertical="center" wrapText="1"/>
    </xf>
    <xf borderId="87" fillId="3" fontId="0" numFmtId="0" xfId="0" applyAlignment="1" applyBorder="1" applyFont="1">
      <alignment horizontal="left" vertical="center"/>
    </xf>
    <xf borderId="95" fillId="3" fontId="0" numFmtId="0" xfId="0" applyAlignment="1" applyBorder="1" applyFont="1">
      <alignment horizontal="left" vertical="center"/>
    </xf>
    <xf borderId="2" fillId="0" fontId="4" numFmtId="0" xfId="0" applyBorder="1" applyFont="1"/>
    <xf borderId="69" fillId="0" fontId="65" numFmtId="0" xfId="0" applyAlignment="1" applyBorder="1" applyFont="1">
      <alignment vertical="bottom"/>
    </xf>
    <xf borderId="69" fillId="0" fontId="4" numFmtId="0" xfId="0" applyAlignment="1" applyBorder="1" applyFont="1">
      <alignment vertical="bottom"/>
    </xf>
    <xf borderId="98" fillId="0" fontId="2" numFmtId="0" xfId="0" applyBorder="1" applyFont="1"/>
    <xf borderId="0" fillId="0" fontId="66" numFmtId="0" xfId="0" applyAlignment="1" applyFont="1">
      <alignment vertical="bottom"/>
    </xf>
    <xf borderId="0" fillId="0" fontId="67" numFmtId="0" xfId="0" applyAlignment="1" applyFont="1">
      <alignment horizontal="center" vertical="bottom"/>
    </xf>
    <xf borderId="0" fillId="0" fontId="0" numFmtId="49" xfId="0" applyAlignment="1" applyFont="1" applyNumberFormat="1">
      <alignment horizontal="center" vertical="bottom"/>
    </xf>
    <xf borderId="0" fillId="0" fontId="27" numFmtId="0" xfId="0" applyAlignment="1" applyFont="1">
      <alignment vertical="bottom"/>
    </xf>
    <xf borderId="99" fillId="0" fontId="2" numFmtId="0" xfId="0" applyBorder="1" applyFont="1"/>
    <xf borderId="100" fillId="0" fontId="4" numFmtId="0" xfId="0" applyAlignment="1" applyBorder="1" applyFont="1">
      <alignment vertical="bottom"/>
    </xf>
    <xf borderId="100" fillId="0" fontId="2" numFmtId="0" xfId="0" applyBorder="1" applyFont="1"/>
    <xf borderId="101" fillId="0" fontId="2" numFmtId="0" xfId="0" applyBorder="1" applyFont="1"/>
    <xf borderId="0" fillId="0" fontId="68" numFmtId="0" xfId="0" applyAlignment="1" applyFont="1">
      <alignment horizontal="left"/>
    </xf>
    <xf borderId="1" fillId="0" fontId="27" numFmtId="0" xfId="0" applyAlignment="1" applyBorder="1" applyFont="1">
      <alignment horizontal="left"/>
    </xf>
    <xf borderId="0" fillId="0" fontId="69" numFmtId="0" xfId="0" applyAlignment="1" applyFont="1">
      <alignment horizontal="left" readingOrder="0" vertical="center"/>
    </xf>
    <xf borderId="8" fillId="0" fontId="70" numFmtId="0" xfId="0" applyAlignment="1" applyBorder="1" applyFont="1">
      <alignment vertical="center"/>
    </xf>
    <xf borderId="20" fillId="0" fontId="0" numFmtId="0" xfId="0" applyBorder="1" applyFont="1"/>
    <xf borderId="1" fillId="0" fontId="44" numFmtId="0" xfId="0" applyAlignment="1" applyBorder="1" applyFont="1">
      <alignment horizontal="left"/>
    </xf>
    <xf borderId="1" fillId="0" fontId="0" numFmtId="0" xfId="0" applyAlignment="1" applyBorder="1" applyFont="1">
      <alignment horizontal="left"/>
    </xf>
    <xf borderId="2" fillId="0" fontId="0" numFmtId="0" xfId="0" applyAlignment="1" applyBorder="1" applyFont="1">
      <alignment horizontal="left" shrinkToFit="0" wrapText="1"/>
    </xf>
    <xf borderId="68" fillId="0" fontId="71" numFmtId="0" xfId="0" applyAlignment="1" applyBorder="1" applyFont="1">
      <alignment horizontal="left"/>
    </xf>
    <xf borderId="69" fillId="0" fontId="72" numFmtId="0" xfId="0" applyAlignment="1" applyBorder="1" applyFont="1">
      <alignment horizontal="left"/>
    </xf>
    <xf borderId="98" fillId="0" fontId="73" numFmtId="0" xfId="0" applyBorder="1" applyFont="1"/>
    <xf borderId="0" fillId="0" fontId="74" numFmtId="0" xfId="0" applyAlignment="1" applyFont="1">
      <alignment horizontal="left"/>
    </xf>
    <xf borderId="68" fillId="10" fontId="0" numFmtId="0" xfId="0" applyAlignment="1" applyBorder="1" applyFont="1">
      <alignment horizontal="left" readingOrder="0" shrinkToFit="0" vertical="bottom" wrapText="0"/>
    </xf>
    <xf borderId="69" fillId="10" fontId="0" numFmtId="0" xfId="0" applyAlignment="1" applyBorder="1" applyFont="1">
      <alignment horizontal="left" readingOrder="0" shrinkToFit="0" vertical="bottom" wrapText="0"/>
    </xf>
    <xf borderId="98" fillId="10" fontId="0" numFmtId="0" xfId="0" applyAlignment="1" applyBorder="1" applyFont="1">
      <alignment horizontal="left" readingOrder="0" shrinkToFit="0" vertical="bottom" wrapText="0"/>
    </xf>
    <xf borderId="110" fillId="10" fontId="0" numFmtId="0" xfId="0" applyAlignment="1" applyBorder="1" applyFont="1">
      <alignment horizontal="left" readingOrder="0" shrinkToFit="0" vertical="bottom" wrapText="0"/>
    </xf>
    <xf borderId="0" fillId="10" fontId="0" numFmtId="0" xfId="0" applyAlignment="1" applyFont="1">
      <alignment horizontal="left" readingOrder="0" shrinkToFit="0" vertical="bottom" wrapText="0"/>
    </xf>
    <xf borderId="67" fillId="10" fontId="0" numFmtId="0" xfId="0" applyAlignment="1" applyBorder="1" applyFont="1">
      <alignment horizontal="left" readingOrder="0" shrinkToFit="0" vertical="bottom" wrapText="0"/>
    </xf>
    <xf borderId="110" fillId="10" fontId="1" numFmtId="0" xfId="0" applyAlignment="1" applyBorder="1" applyFont="1">
      <alignment horizontal="left" readingOrder="0" shrinkToFit="0" vertical="bottom" wrapText="0"/>
    </xf>
    <xf borderId="111" fillId="10" fontId="1" numFmtId="0" xfId="0" applyAlignment="1" applyBorder="1" applyFont="1">
      <alignment horizontal="left" readingOrder="0" shrinkToFit="0" vertical="bottom" wrapText="0"/>
    </xf>
    <xf borderId="100" fillId="10" fontId="0" numFmtId="0" xfId="0" applyAlignment="1" applyBorder="1" applyFont="1">
      <alignment horizontal="left" readingOrder="0" shrinkToFit="0" vertical="bottom" wrapText="0"/>
    </xf>
    <xf borderId="101" fillId="10" fontId="0" numFmtId="0" xfId="0" applyAlignment="1" applyBorder="1" applyFont="1">
      <alignment horizontal="left" readingOrder="0" shrinkToFit="0" vertical="bottom" wrapText="0"/>
    </xf>
    <xf borderId="110" fillId="13" fontId="0" numFmtId="0" xfId="0" applyAlignment="1" applyBorder="1" applyFill="1" applyFont="1">
      <alignment horizontal="left" readingOrder="0" shrinkToFit="0" vertical="bottom" wrapText="0"/>
    </xf>
    <xf borderId="0" fillId="13" fontId="0" numFmtId="0" xfId="0" applyAlignment="1" applyFont="1">
      <alignment horizontal="left" readingOrder="0" shrinkToFit="0" vertical="bottom" wrapText="0"/>
    </xf>
    <xf borderId="67" fillId="13" fontId="0" numFmtId="0" xfId="0" applyAlignment="1" applyBorder="1" applyFont="1">
      <alignment horizontal="left" readingOrder="0" shrinkToFit="0" vertical="bottom" wrapText="0"/>
    </xf>
    <xf borderId="110" fillId="13" fontId="1" numFmtId="0" xfId="0" applyAlignment="1" applyBorder="1" applyFont="1">
      <alignment horizontal="left" readingOrder="0" shrinkToFit="0" vertical="bottom" wrapText="0"/>
    </xf>
    <xf borderId="68" fillId="14" fontId="0" numFmtId="0" xfId="0" applyAlignment="1" applyBorder="1" applyFill="1" applyFont="1">
      <alignment horizontal="left" readingOrder="0" shrinkToFit="0" vertical="bottom" wrapText="0"/>
    </xf>
    <xf borderId="69" fillId="14" fontId="0" numFmtId="0" xfId="0" applyAlignment="1" applyBorder="1" applyFont="1">
      <alignment horizontal="left" readingOrder="0" shrinkToFit="0" vertical="bottom" wrapText="0"/>
    </xf>
    <xf borderId="98" fillId="14" fontId="0" numFmtId="0" xfId="0" applyAlignment="1" applyBorder="1" applyFont="1">
      <alignment horizontal="left" readingOrder="0" shrinkToFit="0" vertical="bottom" wrapText="0"/>
    </xf>
    <xf borderId="110" fillId="14" fontId="0" numFmtId="0" xfId="0" applyAlignment="1" applyBorder="1" applyFont="1">
      <alignment horizontal="left" readingOrder="0" shrinkToFit="0" vertical="bottom" wrapText="0"/>
    </xf>
    <xf borderId="0" fillId="14" fontId="0" numFmtId="0" xfId="0" applyAlignment="1" applyFont="1">
      <alignment horizontal="left" readingOrder="0" shrinkToFit="0" vertical="bottom" wrapText="0"/>
    </xf>
    <xf borderId="67" fillId="14" fontId="0" numFmtId="0" xfId="0" applyAlignment="1" applyBorder="1" applyFont="1">
      <alignment horizontal="left" readingOrder="0" shrinkToFit="0" vertical="bottom" wrapText="0"/>
    </xf>
    <xf borderId="110" fillId="14" fontId="0" numFmtId="0" xfId="0" applyAlignment="1" applyBorder="1" applyFont="1">
      <alignment horizontal="left" readingOrder="0" vertical="bottom"/>
    </xf>
    <xf borderId="110" fillId="14" fontId="1" numFmtId="0" xfId="0" applyAlignment="1" applyBorder="1" applyFont="1">
      <alignment horizontal="left" readingOrder="0" vertical="bottom"/>
    </xf>
    <xf borderId="67" fillId="14" fontId="0" numFmtId="0" xfId="0" applyAlignment="1" applyBorder="1" applyFont="1">
      <alignment horizontal="left" shrinkToFit="0" vertical="bottom" wrapText="0"/>
    </xf>
    <xf borderId="111" fillId="14" fontId="1" numFmtId="0" xfId="0" applyAlignment="1" applyBorder="1" applyFont="1">
      <alignment horizontal="left" readingOrder="0" vertical="bottom"/>
    </xf>
    <xf borderId="100" fillId="14" fontId="0" numFmtId="0" xfId="0" applyAlignment="1" applyBorder="1" applyFont="1">
      <alignment horizontal="left" readingOrder="0" shrinkToFit="0" vertical="bottom" wrapText="0"/>
    </xf>
    <xf borderId="101" fillId="14" fontId="0" numFmtId="0" xfId="0" applyAlignment="1" applyBorder="1" applyFont="1">
      <alignment horizontal="left" shrinkToFit="0" vertical="bottom" wrapText="0"/>
    </xf>
    <xf borderId="110" fillId="0" fontId="1" numFmtId="0" xfId="0" applyAlignment="1" applyBorder="1" applyFont="1">
      <alignment readingOrder="0" shrinkToFit="0" vertical="bottom" wrapText="0"/>
    </xf>
    <xf borderId="0" fillId="0" fontId="0" numFmtId="0" xfId="0" applyAlignment="1" applyFont="1">
      <alignment horizontal="left" readingOrder="0" shrinkToFit="0" vertical="bottom" wrapText="0"/>
    </xf>
    <xf borderId="0" fillId="0" fontId="0" numFmtId="0" xfId="0" applyAlignment="1" applyFont="1">
      <alignment readingOrder="0" shrinkToFit="0" vertical="bottom" wrapText="0"/>
    </xf>
    <xf borderId="0" fillId="0" fontId="0" numFmtId="0" xfId="0" applyAlignment="1" applyFont="1">
      <alignment shrinkToFit="0" vertical="bottom" wrapText="0"/>
    </xf>
    <xf borderId="67" fillId="0" fontId="0" numFmtId="0" xfId="0" applyAlignment="1" applyBorder="1" applyFont="1">
      <alignment shrinkToFit="0" vertical="bottom" wrapText="0"/>
    </xf>
    <xf borderId="111" fillId="0" fontId="1" numFmtId="0" xfId="0" applyAlignment="1" applyBorder="1" applyFont="1">
      <alignment readingOrder="0" shrinkToFit="0" vertical="bottom" wrapText="0"/>
    </xf>
    <xf borderId="100" fillId="0" fontId="0" numFmtId="0" xfId="0" applyAlignment="1" applyBorder="1" applyFont="1">
      <alignment horizontal="left" readingOrder="0" shrinkToFit="0" vertical="bottom" wrapText="0"/>
    </xf>
    <xf borderId="100" fillId="0" fontId="0" numFmtId="0" xfId="0" applyAlignment="1" applyBorder="1" applyFont="1">
      <alignment readingOrder="0" shrinkToFit="0" vertical="bottom" wrapText="0"/>
    </xf>
    <xf borderId="100" fillId="0" fontId="0" numFmtId="0" xfId="0" applyAlignment="1" applyBorder="1" applyFont="1">
      <alignment shrinkToFit="0" vertical="bottom" wrapText="0"/>
    </xf>
    <xf borderId="101" fillId="0" fontId="0" numFmtId="0" xfId="0" applyAlignment="1" applyBorder="1" applyFont="1">
      <alignment shrinkToFit="0" vertical="bottom" wrapText="0"/>
    </xf>
    <xf borderId="1" fillId="0" fontId="0" numFmtId="0" xfId="0" applyAlignment="1" applyBorder="1" applyFont="1">
      <alignment horizontal="left" readingOrder="0" shrinkToFit="0" vertical="center" wrapText="1"/>
    </xf>
    <xf borderId="0" fillId="0" fontId="75" numFmtId="0" xfId="0" applyAlignment="1" applyFont="1">
      <alignment horizontal="center" readingOrder="0"/>
    </xf>
    <xf borderId="0" fillId="0" fontId="0" numFmtId="0" xfId="0" applyAlignment="1" applyFont="1">
      <alignment readingOrder="0" vertical="center"/>
    </xf>
    <xf borderId="0" fillId="0" fontId="0" numFmtId="0" xfId="0" applyAlignment="1" applyFont="1">
      <alignment readingOrder="0" shrinkToFit="0" vertical="center" wrapText="1"/>
    </xf>
    <xf borderId="0" fillId="0" fontId="0" numFmtId="0" xfId="0" applyAlignment="1" applyFont="1">
      <alignment vertical="center"/>
    </xf>
    <xf borderId="0" fillId="0" fontId="76" numFmtId="0" xfId="0" applyAlignment="1" applyFont="1">
      <alignment readingOrder="0"/>
    </xf>
    <xf borderId="0" fillId="0" fontId="0" numFmtId="0" xfId="0" applyFont="1"/>
    <xf borderId="21" fillId="0" fontId="0" numFmtId="0" xfId="0" applyAlignment="1" applyBorder="1" applyFont="1">
      <alignment shrinkToFit="0" wrapText="1"/>
    </xf>
    <xf borderId="21" fillId="0" fontId="0" numFmtId="0" xfId="0" applyBorder="1" applyFont="1"/>
    <xf borderId="0" fillId="0" fontId="0" numFmtId="0" xfId="0" applyAlignment="1" applyFont="1">
      <alignment shrinkToFit="0" wrapText="1"/>
    </xf>
    <xf borderId="97" fillId="9" fontId="77" numFmtId="0" xfId="0" applyAlignment="1" applyBorder="1" applyFont="1">
      <alignment horizontal="left"/>
    </xf>
    <xf borderId="69" fillId="9" fontId="78" numFmtId="0" xfId="0" applyAlignment="1" applyBorder="1" applyFont="1">
      <alignment horizontal="left"/>
    </xf>
    <xf borderId="98" fillId="9" fontId="79" numFmtId="0" xfId="0" applyBorder="1" applyFont="1"/>
    <xf borderId="9" fillId="0" fontId="80" numFmtId="0" xfId="0" applyAlignment="1" applyBorder="1" applyFont="1">
      <alignment horizontal="left"/>
    </xf>
    <xf borderId="81" fillId="10" fontId="0" numFmtId="4" xfId="0" applyAlignment="1" applyBorder="1" applyFont="1" applyNumberFormat="1">
      <alignment horizontal="left"/>
    </xf>
    <xf borderId="81" fillId="10" fontId="0" numFmtId="0" xfId="0" applyAlignment="1" applyBorder="1" applyFont="1">
      <alignment horizontal="left" readingOrder="0" shrinkToFit="0" wrapText="1"/>
    </xf>
    <xf borderId="80" fillId="10" fontId="1" numFmtId="0" xfId="0" applyAlignment="1" applyBorder="1" applyFont="1">
      <alignment horizontal="left" readingOrder="0"/>
    </xf>
    <xf borderId="81" fillId="12" fontId="0" numFmtId="4" xfId="0" applyAlignment="1" applyBorder="1" applyFont="1" applyNumberFormat="1">
      <alignment horizontal="left"/>
    </xf>
    <xf borderId="81" fillId="12" fontId="0" numFmtId="0" xfId="0" applyAlignment="1" applyBorder="1" applyFont="1">
      <alignment horizontal="left" readingOrder="0" shrinkToFit="0" wrapText="1"/>
    </xf>
    <xf borderId="93" fillId="12" fontId="0" numFmtId="0" xfId="0" applyAlignment="1" applyBorder="1" applyFont="1">
      <alignment horizontal="left" readingOrder="0" vertical="center"/>
    </xf>
    <xf borderId="80" fillId="12" fontId="1" numFmtId="0" xfId="0" applyAlignment="1" applyBorder="1" applyFont="1">
      <alignment horizontal="left" readingOrder="0"/>
    </xf>
    <xf borderId="93" fillId="12" fontId="0" numFmtId="0" xfId="0" applyAlignment="1" applyBorder="1" applyFont="1">
      <alignment horizontal="left"/>
    </xf>
    <xf borderId="80" fillId="3" fontId="0" numFmtId="0" xfId="0" applyAlignment="1" applyBorder="1" applyFont="1">
      <alignment horizontal="left" readingOrder="0" shrinkToFit="0" wrapText="1"/>
    </xf>
    <xf borderId="81" fillId="3" fontId="0" numFmtId="4" xfId="0" applyAlignment="1" applyBorder="1" applyFont="1" applyNumberFormat="1">
      <alignment horizontal="left"/>
    </xf>
    <xf borderId="81" fillId="3" fontId="0" numFmtId="0" xfId="0" applyAlignment="1" applyBorder="1" applyFont="1">
      <alignment horizontal="left" readingOrder="0"/>
    </xf>
    <xf borderId="81" fillId="3" fontId="0" numFmtId="0" xfId="0" applyAlignment="1" applyBorder="1" applyFont="1">
      <alignment horizontal="left" readingOrder="0" shrinkToFit="0" wrapText="1"/>
    </xf>
    <xf borderId="86" fillId="3" fontId="1" numFmtId="0" xfId="0" applyAlignment="1" applyBorder="1" applyFont="1">
      <alignment horizontal="left" readingOrder="0" shrinkToFit="0" wrapText="1"/>
    </xf>
    <xf borderId="87" fillId="3" fontId="0" numFmtId="4" xfId="0" applyAlignment="1" applyBorder="1" applyFont="1" applyNumberFormat="1">
      <alignment horizontal="left"/>
    </xf>
    <xf borderId="0" fillId="0" fontId="2" numFmtId="49" xfId="0" applyAlignment="1" applyFont="1" applyNumberFormat="1">
      <alignment readingOrder="0"/>
    </xf>
    <xf borderId="0" fillId="0" fontId="2" numFmtId="0" xfId="0" applyAlignment="1" applyFont="1">
      <alignment horizontal="right"/>
    </xf>
    <xf borderId="70" fillId="0" fontId="0" numFmtId="0" xfId="0" applyAlignment="1" applyBorder="1" applyFont="1">
      <alignment horizontal="left" shrinkToFit="0" vertical="center" wrapText="1"/>
    </xf>
    <xf borderId="112" fillId="0" fontId="27" numFmtId="0" xfId="0" applyAlignment="1" applyBorder="1" applyFont="1">
      <alignment horizontal="left"/>
    </xf>
    <xf borderId="113" fillId="0" fontId="0" numFmtId="0" xfId="0" applyAlignment="1" applyBorder="1" applyFont="1">
      <alignment horizontal="left" shrinkToFit="0" wrapText="1"/>
    </xf>
    <xf borderId="113" fillId="0" fontId="0" numFmtId="0" xfId="0" applyAlignment="1" applyBorder="1" applyFont="1">
      <alignment horizontal="left"/>
    </xf>
    <xf borderId="113" fillId="0" fontId="81" numFmtId="0" xfId="0" applyAlignment="1" applyBorder="1" applyFont="1">
      <alignment horizontal="left" vertical="center"/>
    </xf>
    <xf borderId="113" fillId="0" fontId="82" numFmtId="0" xfId="0" applyAlignment="1" applyBorder="1" applyFont="1">
      <alignment vertical="center"/>
    </xf>
    <xf borderId="114" fillId="0" fontId="83" numFmtId="0" xfId="0" applyAlignment="1" applyBorder="1" applyFont="1">
      <alignment vertical="center"/>
    </xf>
    <xf borderId="31" fillId="0" fontId="4" numFmtId="0" xfId="0" applyAlignment="1" applyBorder="1" applyFont="1">
      <alignment horizontal="left"/>
    </xf>
    <xf borderId="0" fillId="0" fontId="4" numFmtId="0" xfId="0" applyAlignment="1" applyFont="1">
      <alignment horizontal="left"/>
    </xf>
    <xf borderId="115" fillId="0" fontId="84" numFmtId="0" xfId="0" applyAlignment="1" applyBorder="1" applyFont="1">
      <alignment vertical="center"/>
    </xf>
    <xf borderId="31" fillId="0" fontId="85" numFmtId="0" xfId="0" applyAlignment="1" applyBorder="1" applyFont="1">
      <alignment horizontal="left"/>
    </xf>
    <xf borderId="0" fillId="0" fontId="86" numFmtId="0" xfId="0" applyAlignment="1" applyFont="1">
      <alignment horizontal="left"/>
    </xf>
    <xf borderId="0" fillId="0" fontId="87" numFmtId="0" xfId="0" applyAlignment="1" applyFont="1">
      <alignment horizontal="left" readingOrder="0"/>
    </xf>
    <xf borderId="115" fillId="0" fontId="88" numFmtId="0" xfId="0" applyAlignment="1" applyBorder="1" applyFont="1">
      <alignment readingOrder="0" vertical="center"/>
    </xf>
    <xf borderId="0" fillId="0" fontId="4" numFmtId="0" xfId="0" applyAlignment="1" applyFont="1">
      <alignment horizontal="left" vertical="center"/>
    </xf>
    <xf borderId="0" fillId="0" fontId="4" numFmtId="0" xfId="0" applyAlignment="1" applyFont="1">
      <alignment horizontal="center" vertical="center"/>
    </xf>
    <xf borderId="0" fillId="0" fontId="4" numFmtId="0" xfId="0" applyAlignment="1" applyFont="1">
      <alignment horizontal="center" readingOrder="0" shrinkToFit="0" vertical="center" wrapText="1"/>
    </xf>
    <xf borderId="0" fillId="0" fontId="4" numFmtId="0" xfId="0" applyAlignment="1" applyFont="1">
      <alignment horizontal="left" shrinkToFit="0" vertical="center" wrapText="1"/>
    </xf>
    <xf borderId="115" fillId="0" fontId="0" numFmtId="0" xfId="0" applyAlignment="1" applyBorder="1" applyFont="1">
      <alignment horizontal="center" readingOrder="0" shrinkToFit="0" vertical="center" wrapText="1"/>
    </xf>
    <xf borderId="0" fillId="0" fontId="4" numFmtId="0" xfId="0" applyAlignment="1" applyFont="1">
      <alignment horizontal="center"/>
    </xf>
    <xf borderId="115" fillId="0" fontId="89" numFmtId="0" xfId="0" applyAlignment="1" applyBorder="1" applyFont="1">
      <alignment horizontal="center" vertical="center"/>
    </xf>
    <xf borderId="115" fillId="0" fontId="0" numFmtId="0" xfId="0" applyAlignment="1" applyBorder="1" applyFont="1">
      <alignment horizontal="center"/>
    </xf>
    <xf borderId="0" fillId="0" fontId="4" numFmtId="0" xfId="0" applyAlignment="1" applyFont="1">
      <alignment horizontal="left" shrinkToFit="0" wrapText="1"/>
    </xf>
    <xf borderId="0" fillId="0" fontId="0" numFmtId="0" xfId="0" applyAlignment="1" applyFont="1">
      <alignment horizontal="center" readingOrder="0"/>
    </xf>
    <xf borderId="0" fillId="0" fontId="4" numFmtId="0" xfId="0" applyAlignment="1" applyFont="1">
      <alignment horizontal="center" readingOrder="0" vertical="center"/>
    </xf>
    <xf borderId="0" fillId="0" fontId="4" numFmtId="0" xfId="0" applyAlignment="1" applyFont="1">
      <alignment horizontal="left" readingOrder="0" shrinkToFit="0" vertical="center" wrapText="1"/>
    </xf>
    <xf borderId="116" fillId="0" fontId="4" numFmtId="0" xfId="0" applyAlignment="1" applyBorder="1" applyFont="1">
      <alignment horizontal="left"/>
    </xf>
    <xf borderId="117" fillId="0" fontId="0" numFmtId="0" xfId="0" applyAlignment="1" applyBorder="1" applyFont="1">
      <alignment horizontal="left"/>
    </xf>
    <xf borderId="117" fillId="0" fontId="4" numFmtId="0" xfId="0" applyAlignment="1" applyBorder="1" applyFont="1">
      <alignment horizontal="left"/>
    </xf>
    <xf borderId="117" fillId="0" fontId="0" numFmtId="0" xfId="0" applyBorder="1" applyFont="1"/>
    <xf borderId="118" fillId="0" fontId="0" numFmtId="0" xfId="0" applyBorder="1" applyFont="1"/>
    <xf borderId="72" fillId="0" fontId="0" numFmtId="0" xfId="0" applyBorder="1" applyFont="1"/>
    <xf borderId="9" fillId="0" fontId="0" numFmtId="0" xfId="0" applyBorder="1" applyFont="1"/>
    <xf borderId="84" fillId="10" fontId="1" numFmtId="0" xfId="0" applyAlignment="1" applyBorder="1" applyFont="1">
      <alignment horizontal="left"/>
    </xf>
    <xf borderId="94" fillId="10" fontId="1" numFmtId="0" xfId="0" applyAlignment="1" applyBorder="1" applyFont="1">
      <alignment horizontal="left" readingOrder="0"/>
    </xf>
    <xf borderId="87" fillId="10" fontId="1" numFmtId="0" xfId="0" applyAlignment="1" applyBorder="1" applyFont="1">
      <alignment horizontal="left"/>
    </xf>
    <xf borderId="95" fillId="10" fontId="1" numFmtId="0" xfId="0" applyAlignment="1" applyBorder="1" applyFont="1">
      <alignment horizontal="left" readingOrder="0"/>
    </xf>
    <xf borderId="80" fillId="3" fontId="0" numFmtId="0" xfId="0" applyAlignment="1" applyBorder="1" applyFont="1">
      <alignment horizontal="left"/>
    </xf>
    <xf borderId="80" fillId="3" fontId="0" numFmtId="0" xfId="0" applyAlignment="1" applyBorder="1" applyFont="1">
      <alignment horizontal="left" shrinkToFit="0" wrapText="1"/>
    </xf>
    <xf borderId="0" fillId="0" fontId="1" numFmtId="0" xfId="0" applyFont="1"/>
    <xf borderId="83" fillId="3" fontId="1" numFmtId="0" xfId="0" applyAlignment="1" applyBorder="1" applyFont="1">
      <alignment horizontal="left" shrinkToFit="0" wrapText="1"/>
    </xf>
    <xf borderId="84" fillId="3" fontId="1" numFmtId="0" xfId="0" applyAlignment="1" applyBorder="1" applyFont="1">
      <alignment horizontal="left"/>
    </xf>
    <xf borderId="94" fillId="3" fontId="1" numFmtId="0" xfId="0" applyAlignment="1" applyBorder="1" applyFont="1">
      <alignment horizontal="left" readingOrder="0"/>
    </xf>
    <xf borderId="86" fillId="3" fontId="1" numFmtId="0" xfId="0" applyAlignment="1" applyBorder="1" applyFont="1">
      <alignment horizontal="left" shrinkToFit="0" wrapText="1"/>
    </xf>
    <xf borderId="87" fillId="3" fontId="1" numFmtId="0" xfId="0" applyAlignment="1" applyBorder="1" applyFont="1">
      <alignment horizontal="left"/>
    </xf>
    <xf borderId="95" fillId="3" fontId="1" numFmtId="0" xfId="0" applyAlignment="1" applyBorder="1" applyFont="1">
      <alignment horizontal="left" readingOrder="0"/>
    </xf>
    <xf borderId="37" fillId="8" fontId="1" numFmtId="0" xfId="0" applyAlignment="1" applyBorder="1" applyFont="1">
      <alignment horizontal="left" readingOrder="0" shrinkToFit="0" wrapText="1"/>
    </xf>
    <xf borderId="39" fillId="8" fontId="1" numFmtId="0" xfId="0" applyAlignment="1" applyBorder="1" applyFont="1">
      <alignment horizontal="left"/>
    </xf>
    <xf borderId="87" fillId="8" fontId="1" numFmtId="0" xfId="0" applyAlignment="1" applyBorder="1" applyFont="1">
      <alignment horizontal="left"/>
    </xf>
    <xf borderId="39" fillId="8" fontId="1" numFmtId="0" xfId="0" applyAlignment="1" applyBorder="1" applyFont="1">
      <alignment horizontal="left" readingOrder="0"/>
    </xf>
    <xf borderId="119" fillId="8" fontId="1" numFmtId="0" xfId="0" applyAlignment="1" applyBorder="1" applyFont="1">
      <alignment horizontal="lef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25</xdr:row>
      <xdr:rowOff>161925</xdr:rowOff>
    </xdr:from>
    <xdr:ext cx="6677025" cy="37433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52</xdr:row>
      <xdr:rowOff>95250</xdr:rowOff>
    </xdr:from>
    <xdr:ext cx="2524125" cy="15335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5</xdr:row>
      <xdr:rowOff>-200025</xdr:rowOff>
    </xdr:from>
    <xdr:ext cx="10410825" cy="772477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552450</xdr:colOff>
      <xdr:row>7</xdr:row>
      <xdr:rowOff>76200</xdr:rowOff>
    </xdr:from>
    <xdr:ext cx="7724775" cy="70580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2.xml"/><Relationship Id="rId3"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2" width="10.56"/>
    <col customWidth="1" min="3" max="3" width="11.78"/>
    <col customWidth="1" min="4" max="10" width="10.56"/>
    <col customWidth="1" min="11" max="11" width="11.67"/>
    <col customWidth="1" min="12" max="26" width="10.56"/>
  </cols>
  <sheetData>
    <row r="1" ht="15.75" customHeight="1"/>
    <row r="2" ht="15.75" customHeight="1"/>
    <row r="3" ht="15.75" customHeight="1">
      <c r="B3" s="1" t="s">
        <v>0</v>
      </c>
      <c r="C3" s="2"/>
      <c r="D3" s="3"/>
      <c r="E3" s="4" t="s">
        <v>1</v>
      </c>
      <c r="F3" s="5"/>
      <c r="G3" s="6"/>
      <c r="H3" s="4" t="s">
        <v>2</v>
      </c>
      <c r="I3" s="7"/>
      <c r="J3" s="8" t="s">
        <v>3</v>
      </c>
      <c r="K3" s="7"/>
    </row>
    <row r="4" ht="15.75" customHeight="1">
      <c r="B4" s="9"/>
      <c r="D4" s="10"/>
      <c r="E4" s="11" t="s">
        <v>4</v>
      </c>
      <c r="F4" s="12"/>
      <c r="G4" s="13"/>
      <c r="H4" s="14">
        <v>43606.0</v>
      </c>
      <c r="I4" s="15"/>
      <c r="J4" s="16"/>
      <c r="K4" s="17"/>
    </row>
    <row r="5" ht="15.75" customHeight="1">
      <c r="B5" s="9"/>
      <c r="D5" s="10"/>
      <c r="E5" s="18" t="s">
        <v>5</v>
      </c>
      <c r="F5" s="19"/>
      <c r="G5" s="19"/>
      <c r="H5" s="19"/>
      <c r="I5" s="20"/>
      <c r="J5" s="9"/>
      <c r="K5" s="10"/>
    </row>
    <row r="6" ht="15.75" customHeight="1">
      <c r="B6" s="9"/>
      <c r="D6" s="10"/>
      <c r="E6" s="21" t="s">
        <v>6</v>
      </c>
      <c r="F6" s="22"/>
      <c r="G6" s="22"/>
      <c r="H6" s="22"/>
      <c r="I6" s="17"/>
      <c r="J6" s="9"/>
      <c r="K6" s="10"/>
    </row>
    <row r="7" ht="15.75" customHeight="1">
      <c r="B7" s="9"/>
      <c r="D7" s="10"/>
      <c r="E7" s="23"/>
      <c r="F7" s="24"/>
      <c r="G7" s="24"/>
      <c r="H7" s="24"/>
      <c r="I7" s="25"/>
      <c r="J7" s="23"/>
      <c r="K7" s="25"/>
    </row>
    <row r="8" ht="15.75" customHeight="1">
      <c r="B8" s="9"/>
      <c r="D8" s="10"/>
      <c r="E8" s="26"/>
      <c r="F8" s="27"/>
      <c r="G8" s="27"/>
      <c r="H8" s="27"/>
      <c r="I8" s="27"/>
      <c r="J8" s="27"/>
      <c r="K8" s="28"/>
    </row>
    <row r="9" ht="15.75" customHeight="1">
      <c r="B9" s="23"/>
      <c r="C9" s="24"/>
      <c r="D9" s="25"/>
      <c r="E9" s="29"/>
      <c r="F9" s="30"/>
      <c r="G9" s="30"/>
      <c r="H9" s="30"/>
      <c r="I9" s="30"/>
      <c r="J9" s="30"/>
      <c r="K9" s="31"/>
    </row>
    <row r="10" ht="15.75" customHeight="1">
      <c r="B10" s="32" t="s">
        <v>7</v>
      </c>
      <c r="C10" s="33"/>
      <c r="D10" s="5"/>
      <c r="E10" s="27"/>
      <c r="F10" s="27"/>
      <c r="G10" s="27"/>
      <c r="H10" s="27"/>
      <c r="I10" s="27"/>
      <c r="J10" s="27"/>
      <c r="K10" s="28"/>
    </row>
    <row r="11" ht="15.75" customHeight="1">
      <c r="B11" s="34" t="s">
        <v>8</v>
      </c>
      <c r="C11" s="22"/>
      <c r="D11" s="22"/>
      <c r="E11" s="22"/>
      <c r="F11" s="22"/>
      <c r="G11" s="22"/>
      <c r="H11" s="22"/>
      <c r="I11" s="22"/>
      <c r="J11" s="22"/>
      <c r="K11" s="17"/>
    </row>
    <row r="12" ht="15.75" customHeight="1">
      <c r="B12" s="23"/>
      <c r="C12" s="24"/>
      <c r="D12" s="24"/>
      <c r="E12" s="24"/>
      <c r="F12" s="24"/>
      <c r="G12" s="24"/>
      <c r="H12" s="24"/>
      <c r="I12" s="24"/>
      <c r="J12" s="24"/>
      <c r="K12" s="25"/>
    </row>
    <row r="13" ht="15.75" customHeight="1">
      <c r="B13" s="35"/>
      <c r="C13" s="27"/>
      <c r="D13" s="27"/>
      <c r="E13" s="27"/>
      <c r="F13" s="27"/>
      <c r="G13" s="27"/>
      <c r="H13" s="27"/>
      <c r="I13" s="27"/>
      <c r="J13" s="27"/>
      <c r="K13" s="28"/>
    </row>
    <row r="14" ht="15.75" customHeight="1">
      <c r="B14" s="36" t="s">
        <v>9</v>
      </c>
      <c r="C14" s="12"/>
      <c r="D14" s="37"/>
      <c r="E14" s="30"/>
      <c r="F14" s="30"/>
      <c r="G14" s="30"/>
      <c r="H14" s="30"/>
      <c r="I14" s="30"/>
      <c r="J14" s="30"/>
      <c r="K14" s="31"/>
    </row>
    <row r="15" ht="15.75" customHeight="1">
      <c r="B15" s="38" t="s">
        <v>10</v>
      </c>
      <c r="C15" s="39" t="s">
        <v>11</v>
      </c>
      <c r="D15" s="40" t="s">
        <v>12</v>
      </c>
      <c r="E15" s="41" t="s">
        <v>13</v>
      </c>
      <c r="F15" s="2"/>
      <c r="G15" s="2"/>
      <c r="H15" s="2"/>
      <c r="I15" s="2"/>
      <c r="J15" s="2"/>
      <c r="K15" s="3"/>
    </row>
    <row r="16" ht="15.75" customHeight="1">
      <c r="B16" s="23"/>
      <c r="C16" s="42"/>
      <c r="D16" s="23"/>
      <c r="E16" s="43"/>
      <c r="K16" s="10"/>
    </row>
    <row r="17" ht="15.75" customHeight="1">
      <c r="B17" s="44" t="s">
        <v>14</v>
      </c>
      <c r="C17" s="45">
        <v>43454.0</v>
      </c>
      <c r="D17" s="46"/>
      <c r="E17" s="47" t="s">
        <v>15</v>
      </c>
      <c r="F17" s="48"/>
      <c r="G17" s="48"/>
      <c r="H17" s="48"/>
      <c r="I17" s="48"/>
      <c r="J17" s="48"/>
      <c r="K17" s="49"/>
    </row>
    <row r="18" ht="15.75" customHeight="1">
      <c r="B18" s="50" t="s">
        <v>16</v>
      </c>
      <c r="C18" s="51">
        <v>43551.0</v>
      </c>
      <c r="D18" s="52" t="s">
        <v>17</v>
      </c>
      <c r="E18" s="53" t="s">
        <v>18</v>
      </c>
      <c r="F18" s="54"/>
      <c r="G18" s="54"/>
      <c r="H18" s="54"/>
      <c r="I18" s="54"/>
      <c r="J18" s="54"/>
      <c r="K18" s="55"/>
    </row>
    <row r="19" ht="15.75" customHeight="1">
      <c r="B19" s="50" t="s">
        <v>19</v>
      </c>
      <c r="C19" s="56" t="s">
        <v>20</v>
      </c>
      <c r="D19" s="57" t="s">
        <v>21</v>
      </c>
      <c r="E19" s="57" t="s">
        <v>22</v>
      </c>
      <c r="F19" s="54"/>
      <c r="G19" s="54"/>
      <c r="H19" s="54"/>
      <c r="I19" s="54"/>
      <c r="J19" s="54"/>
      <c r="K19" s="55"/>
    </row>
    <row r="20" ht="15.75" customHeight="1">
      <c r="B20" s="50" t="s">
        <v>23</v>
      </c>
      <c r="C20" s="58"/>
      <c r="D20" s="59"/>
      <c r="E20" s="59"/>
      <c r="F20" s="54"/>
      <c r="G20" s="54"/>
      <c r="H20" s="54"/>
      <c r="I20" s="54"/>
      <c r="J20" s="54"/>
      <c r="K20" s="55"/>
    </row>
    <row r="21" ht="15.75" customHeight="1">
      <c r="B21" s="50" t="s">
        <v>24</v>
      </c>
      <c r="C21" s="58"/>
      <c r="D21" s="59"/>
      <c r="E21" s="59"/>
      <c r="F21" s="54"/>
      <c r="G21" s="54"/>
      <c r="H21" s="54"/>
      <c r="I21" s="54"/>
      <c r="J21" s="54"/>
      <c r="K21" s="55"/>
    </row>
    <row r="22" ht="15.75" customHeight="1">
      <c r="B22" s="50" t="s">
        <v>25</v>
      </c>
      <c r="C22" s="58"/>
      <c r="D22" s="59"/>
      <c r="E22" s="59"/>
      <c r="F22" s="54"/>
      <c r="G22" s="54"/>
      <c r="H22" s="54"/>
      <c r="I22" s="54"/>
      <c r="J22" s="54"/>
      <c r="K22" s="55"/>
    </row>
    <row r="23" ht="15.75" customHeight="1">
      <c r="B23" s="50" t="s">
        <v>26</v>
      </c>
      <c r="C23" s="58"/>
      <c r="D23" s="59"/>
      <c r="E23" s="59"/>
      <c r="F23" s="54"/>
      <c r="G23" s="54"/>
      <c r="H23" s="54"/>
      <c r="I23" s="54"/>
      <c r="J23" s="54"/>
      <c r="K23" s="55"/>
    </row>
    <row r="24" ht="15.75" customHeight="1">
      <c r="B24" s="60"/>
      <c r="C24" s="61"/>
      <c r="D24" s="62"/>
      <c r="E24" s="62"/>
      <c r="F24" s="63"/>
      <c r="G24" s="63"/>
      <c r="H24" s="63"/>
      <c r="I24" s="63"/>
      <c r="J24" s="63"/>
      <c r="K24" s="64"/>
    </row>
    <row r="25" ht="15.75" customHeight="1">
      <c r="B25" s="65"/>
      <c r="C25" s="27"/>
      <c r="D25" s="66"/>
      <c r="E25" s="67"/>
      <c r="F25" s="67"/>
      <c r="G25" s="66"/>
      <c r="H25" s="67"/>
      <c r="I25" s="67"/>
      <c r="J25" s="67"/>
      <c r="K25" s="68"/>
    </row>
    <row r="26" ht="15.75" customHeight="1">
      <c r="B26" s="69" t="s">
        <v>27</v>
      </c>
      <c r="C26" s="70"/>
      <c r="D26" s="70"/>
      <c r="E26" s="71"/>
      <c r="F26" s="71"/>
      <c r="G26" s="71"/>
      <c r="H26" s="30"/>
      <c r="I26" s="30"/>
      <c r="J26" s="30"/>
      <c r="K26" s="31"/>
    </row>
    <row r="27" ht="15.75" customHeight="1">
      <c r="B27" s="72">
        <v>1.0</v>
      </c>
      <c r="C27" s="73" t="s">
        <v>28</v>
      </c>
      <c r="D27" s="33"/>
      <c r="E27" s="33"/>
      <c r="F27" s="33"/>
      <c r="G27" s="33"/>
      <c r="H27" s="33"/>
      <c r="I27" s="33"/>
      <c r="J27" s="33"/>
      <c r="K27" s="7"/>
    </row>
    <row r="28" ht="15.75" customHeight="1">
      <c r="B28" s="74">
        <v>2.0</v>
      </c>
      <c r="C28" s="75" t="s">
        <v>29</v>
      </c>
      <c r="D28" s="76"/>
      <c r="E28" s="76"/>
      <c r="F28" s="76"/>
      <c r="G28" s="76"/>
      <c r="H28" s="76"/>
      <c r="I28" s="76"/>
      <c r="J28" s="76"/>
      <c r="K28" s="77"/>
    </row>
    <row r="29" ht="15.75" customHeight="1">
      <c r="B29" s="78">
        <v>3.0</v>
      </c>
      <c r="C29" s="79" t="s">
        <v>30</v>
      </c>
      <c r="D29" s="76"/>
      <c r="E29" s="76"/>
      <c r="F29" s="76"/>
      <c r="G29" s="76"/>
      <c r="H29" s="76"/>
      <c r="I29" s="76"/>
      <c r="J29" s="76"/>
      <c r="K29" s="77"/>
    </row>
    <row r="30" ht="15.75" customHeight="1">
      <c r="B30" s="79">
        <v>4.0</v>
      </c>
      <c r="C30" s="80" t="s">
        <v>31</v>
      </c>
      <c r="D30" s="76"/>
      <c r="E30" s="76"/>
      <c r="F30" s="76"/>
      <c r="G30" s="76"/>
      <c r="H30" s="76"/>
      <c r="I30" s="76"/>
      <c r="J30" s="76"/>
      <c r="K30" s="77"/>
    </row>
    <row r="31" ht="15.75" customHeight="1">
      <c r="B31" s="78">
        <v>5.0</v>
      </c>
      <c r="C31" s="75" t="s">
        <v>32</v>
      </c>
      <c r="D31" s="76"/>
      <c r="E31" s="76"/>
      <c r="F31" s="76"/>
      <c r="G31" s="76"/>
      <c r="H31" s="76"/>
      <c r="I31" s="76"/>
      <c r="J31" s="76"/>
      <c r="K31" s="77"/>
    </row>
    <row r="32" ht="15.75" customHeight="1">
      <c r="B32" s="79">
        <v>6.0</v>
      </c>
      <c r="C32" s="79" t="s">
        <v>33</v>
      </c>
      <c r="D32" s="76"/>
      <c r="E32" s="76"/>
      <c r="F32" s="76"/>
      <c r="G32" s="76"/>
      <c r="H32" s="76"/>
      <c r="I32" s="76"/>
      <c r="J32" s="76"/>
      <c r="K32" s="77"/>
    </row>
    <row r="33" ht="15.75" customHeight="1">
      <c r="B33" s="79">
        <v>7.0</v>
      </c>
      <c r="C33" s="79" t="s">
        <v>34</v>
      </c>
      <c r="D33" s="76"/>
      <c r="E33" s="76"/>
      <c r="F33" s="76"/>
      <c r="G33" s="76"/>
      <c r="H33" s="76"/>
      <c r="I33" s="76"/>
      <c r="J33" s="76"/>
      <c r="K33" s="77"/>
    </row>
    <row r="34" ht="15.75" customHeight="1">
      <c r="B34" s="79">
        <v>8.0</v>
      </c>
      <c r="C34" s="79" t="s">
        <v>35</v>
      </c>
      <c r="D34" s="76"/>
      <c r="E34" s="76"/>
      <c r="F34" s="76"/>
      <c r="G34" s="76"/>
      <c r="H34" s="76"/>
      <c r="I34" s="76"/>
      <c r="J34" s="76"/>
      <c r="K34" s="77"/>
    </row>
    <row r="35" ht="15.75" customHeight="1">
      <c r="B35" s="79">
        <v>9.0</v>
      </c>
      <c r="C35" s="79" t="s">
        <v>36</v>
      </c>
      <c r="D35" s="76"/>
      <c r="E35" s="76"/>
      <c r="F35" s="76"/>
      <c r="G35" s="76"/>
      <c r="H35" s="76"/>
      <c r="I35" s="76"/>
      <c r="J35" s="76"/>
      <c r="K35" s="77"/>
    </row>
    <row r="36" ht="15.75" customHeight="1">
      <c r="B36" s="79">
        <v>10.0</v>
      </c>
      <c r="C36" s="75" t="s">
        <v>37</v>
      </c>
      <c r="D36" s="76"/>
      <c r="E36" s="76"/>
      <c r="F36" s="76"/>
      <c r="G36" s="76"/>
      <c r="H36" s="76"/>
      <c r="I36" s="76"/>
      <c r="J36" s="76"/>
      <c r="K36" s="77"/>
    </row>
    <row r="37" ht="15.75" customHeight="1">
      <c r="B37" s="81">
        <v>11.0</v>
      </c>
      <c r="C37" s="75" t="s">
        <v>38</v>
      </c>
      <c r="D37" s="76"/>
      <c r="E37" s="76"/>
      <c r="F37" s="76"/>
      <c r="G37" s="76"/>
      <c r="H37" s="76"/>
      <c r="I37" s="76"/>
      <c r="J37" s="76"/>
      <c r="K37" s="77"/>
    </row>
    <row r="38" ht="15.75" customHeight="1">
      <c r="B38" s="79">
        <v>12.0</v>
      </c>
      <c r="C38" s="75" t="s">
        <v>39</v>
      </c>
      <c r="D38" s="76"/>
      <c r="E38" s="76"/>
      <c r="F38" s="76"/>
      <c r="G38" s="76"/>
      <c r="H38" s="76"/>
      <c r="I38" s="76"/>
      <c r="J38" s="76"/>
      <c r="K38" s="77"/>
    </row>
    <row r="39" ht="15.75" customHeight="1">
      <c r="B39" s="81">
        <v>13.0</v>
      </c>
      <c r="C39" s="75" t="s">
        <v>40</v>
      </c>
      <c r="D39" s="76"/>
      <c r="E39" s="76"/>
      <c r="F39" s="76"/>
      <c r="G39" s="76"/>
      <c r="H39" s="76"/>
      <c r="I39" s="76"/>
      <c r="J39" s="76"/>
      <c r="K39" s="77"/>
    </row>
    <row r="40" ht="15.75" customHeight="1">
      <c r="B40" s="82">
        <v>14.0</v>
      </c>
      <c r="C40" s="79" t="s">
        <v>41</v>
      </c>
      <c r="D40" s="76"/>
      <c r="E40" s="76"/>
      <c r="F40" s="76"/>
      <c r="G40" s="76"/>
      <c r="H40" s="76"/>
      <c r="I40" s="76"/>
      <c r="J40" s="76"/>
      <c r="K40" s="77"/>
    </row>
    <row r="41" ht="15.75" customHeight="1">
      <c r="B41" s="83">
        <v>15.0</v>
      </c>
      <c r="C41" s="79" t="s">
        <v>42</v>
      </c>
      <c r="D41" s="76"/>
      <c r="E41" s="76"/>
      <c r="F41" s="76"/>
      <c r="G41" s="76"/>
      <c r="H41" s="76"/>
      <c r="I41" s="76"/>
      <c r="J41" s="76"/>
      <c r="K41" s="77"/>
    </row>
    <row r="42" ht="15.75" customHeight="1">
      <c r="B42" s="35"/>
      <c r="C42" s="27"/>
      <c r="D42" s="27"/>
      <c r="E42" s="27"/>
      <c r="F42" s="27"/>
      <c r="G42" s="27"/>
      <c r="H42" s="27"/>
      <c r="I42" s="27"/>
      <c r="J42" s="27"/>
      <c r="K42" s="28"/>
    </row>
    <row r="43" ht="15.75" customHeight="1">
      <c r="B43" s="84" t="s">
        <v>43</v>
      </c>
      <c r="C43" s="12"/>
      <c r="D43" s="37"/>
      <c r="E43" s="85"/>
      <c r="F43" s="85"/>
      <c r="G43" s="85"/>
      <c r="H43" s="85"/>
      <c r="I43" s="85"/>
      <c r="J43" s="85"/>
      <c r="K43" s="86"/>
    </row>
    <row r="44" ht="15.75" customHeight="1">
      <c r="B44" s="38" t="s">
        <v>44</v>
      </c>
      <c r="C44" s="3"/>
      <c r="D44" s="38" t="s">
        <v>45</v>
      </c>
      <c r="E44" s="3"/>
      <c r="F44" s="40" t="s">
        <v>46</v>
      </c>
      <c r="G44" s="3"/>
      <c r="H44" s="87" t="s">
        <v>47</v>
      </c>
      <c r="I44" s="2"/>
      <c r="J44" s="2"/>
      <c r="K44" s="3"/>
    </row>
    <row r="45" ht="15.75" customHeight="1">
      <c r="B45" s="88"/>
      <c r="C45" s="89"/>
      <c r="D45" s="23"/>
      <c r="E45" s="25"/>
      <c r="F45" s="23"/>
      <c r="G45" s="25"/>
      <c r="H45" s="24"/>
      <c r="I45" s="24"/>
      <c r="J45" s="24"/>
      <c r="K45" s="25"/>
    </row>
    <row r="46">
      <c r="B46" s="90" t="s">
        <v>48</v>
      </c>
      <c r="C46" s="5"/>
      <c r="D46" s="91" t="s">
        <v>49</v>
      </c>
      <c r="E46" s="89"/>
      <c r="F46" s="92">
        <v>43606.0</v>
      </c>
      <c r="G46" s="93"/>
      <c r="H46" s="94"/>
      <c r="I46" s="95"/>
      <c r="J46" s="95"/>
      <c r="K46" s="96"/>
    </row>
    <row r="47">
      <c r="B47" s="97" t="s">
        <v>50</v>
      </c>
      <c r="C47" s="98"/>
      <c r="D47" s="99" t="s">
        <v>51</v>
      </c>
      <c r="E47" s="77"/>
      <c r="F47" s="92">
        <v>43606.0</v>
      </c>
      <c r="G47" s="93"/>
      <c r="H47" s="100"/>
      <c r="I47" s="101"/>
      <c r="J47" s="101"/>
      <c r="K47" s="93"/>
    </row>
    <row r="48">
      <c r="B48" s="97" t="s">
        <v>52</v>
      </c>
      <c r="C48" s="98"/>
      <c r="D48" s="78" t="s">
        <v>53</v>
      </c>
      <c r="E48" s="77"/>
      <c r="F48" s="92">
        <v>43606.0</v>
      </c>
      <c r="G48" s="93"/>
      <c r="H48" s="100"/>
      <c r="I48" s="101"/>
      <c r="J48" s="101"/>
      <c r="K48" s="93"/>
    </row>
    <row r="49" ht="15.75" customHeight="1">
      <c r="B49" s="97"/>
      <c r="C49" s="98"/>
      <c r="D49" s="78"/>
      <c r="E49" s="77"/>
      <c r="F49" s="92"/>
      <c r="G49" s="93"/>
      <c r="H49" s="102"/>
      <c r="I49" s="101"/>
      <c r="J49" s="101"/>
      <c r="K49" s="93"/>
    </row>
    <row r="50" ht="15.75" customHeight="1">
      <c r="B50" s="97"/>
      <c r="C50" s="98"/>
      <c r="D50" s="99"/>
      <c r="E50" s="77"/>
      <c r="F50" s="92"/>
      <c r="G50" s="93"/>
      <c r="H50" s="102"/>
      <c r="I50" s="101"/>
      <c r="J50" s="101"/>
      <c r="K50" s="93"/>
    </row>
    <row r="51" ht="15.75" customHeight="1">
      <c r="B51" s="97"/>
      <c r="C51" s="98"/>
      <c r="D51" s="99"/>
      <c r="E51" s="77"/>
      <c r="F51" s="92"/>
      <c r="G51" s="93"/>
      <c r="H51" s="102"/>
      <c r="I51" s="101"/>
      <c r="J51" s="101"/>
      <c r="K51" s="93"/>
    </row>
    <row r="52" ht="15.75" customHeight="1">
      <c r="B52" s="97"/>
      <c r="C52" s="98"/>
      <c r="D52" s="99"/>
      <c r="E52" s="77"/>
      <c r="F52" s="92"/>
      <c r="G52" s="93"/>
      <c r="H52" s="102"/>
      <c r="I52" s="101"/>
      <c r="J52" s="101"/>
      <c r="K52" s="93"/>
    </row>
    <row r="53" ht="15.75" customHeight="1">
      <c r="B53" s="97"/>
      <c r="C53" s="98"/>
      <c r="D53" s="99"/>
      <c r="E53" s="77"/>
      <c r="F53" s="92"/>
      <c r="G53" s="93"/>
      <c r="H53" s="102"/>
      <c r="I53" s="101"/>
      <c r="J53" s="101"/>
      <c r="K53" s="93"/>
    </row>
    <row r="54" ht="15.75" customHeight="1">
      <c r="B54" s="103"/>
      <c r="C54" s="37"/>
      <c r="D54" s="36"/>
      <c r="E54" s="13"/>
      <c r="F54" s="104"/>
      <c r="G54" s="105"/>
      <c r="H54" s="106"/>
      <c r="I54" s="107"/>
      <c r="J54" s="107"/>
      <c r="K54" s="105"/>
    </row>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78">
    <mergeCell ref="B46:C46"/>
    <mergeCell ref="D46:E46"/>
    <mergeCell ref="F46:G46"/>
    <mergeCell ref="H46:K46"/>
    <mergeCell ref="D47:E47"/>
    <mergeCell ref="F47:G47"/>
    <mergeCell ref="H47:K47"/>
    <mergeCell ref="B47:C47"/>
    <mergeCell ref="B48:C48"/>
    <mergeCell ref="D48:E48"/>
    <mergeCell ref="F48:G48"/>
    <mergeCell ref="H48:K48"/>
    <mergeCell ref="B49:C49"/>
    <mergeCell ref="D49:E49"/>
    <mergeCell ref="F49:G49"/>
    <mergeCell ref="H49:K49"/>
    <mergeCell ref="B50:C50"/>
    <mergeCell ref="D50:E50"/>
    <mergeCell ref="F50:G50"/>
    <mergeCell ref="H50:K50"/>
    <mergeCell ref="B51:C51"/>
    <mergeCell ref="H51:K51"/>
    <mergeCell ref="D51:E51"/>
    <mergeCell ref="F51:G51"/>
    <mergeCell ref="B52:C52"/>
    <mergeCell ref="D52:E52"/>
    <mergeCell ref="F52:G52"/>
    <mergeCell ref="H52:K52"/>
    <mergeCell ref="B53:C53"/>
    <mergeCell ref="H53:K53"/>
    <mergeCell ref="B3:D9"/>
    <mergeCell ref="E3:F3"/>
    <mergeCell ref="H3:I3"/>
    <mergeCell ref="J3:K3"/>
    <mergeCell ref="E4:G4"/>
    <mergeCell ref="J4:K7"/>
    <mergeCell ref="E6:I7"/>
    <mergeCell ref="B10:D10"/>
    <mergeCell ref="B11:K12"/>
    <mergeCell ref="B14:D14"/>
    <mergeCell ref="B15:B16"/>
    <mergeCell ref="C15:C16"/>
    <mergeCell ref="D15:D16"/>
    <mergeCell ref="E15:K16"/>
    <mergeCell ref="E17:K17"/>
    <mergeCell ref="E18:K18"/>
    <mergeCell ref="E19:K19"/>
    <mergeCell ref="E20:K20"/>
    <mergeCell ref="E21:K21"/>
    <mergeCell ref="E22:K22"/>
    <mergeCell ref="E23:K23"/>
    <mergeCell ref="E24:K24"/>
    <mergeCell ref="C27:K27"/>
    <mergeCell ref="C28:K28"/>
    <mergeCell ref="C29:K29"/>
    <mergeCell ref="C30:K30"/>
    <mergeCell ref="C31:K31"/>
    <mergeCell ref="C32:K32"/>
    <mergeCell ref="C33:K33"/>
    <mergeCell ref="C34:K34"/>
    <mergeCell ref="C35:K35"/>
    <mergeCell ref="C36:K36"/>
    <mergeCell ref="C37:K37"/>
    <mergeCell ref="C38:K38"/>
    <mergeCell ref="C39:K39"/>
    <mergeCell ref="C40:K40"/>
    <mergeCell ref="C41:K41"/>
    <mergeCell ref="B43:D43"/>
    <mergeCell ref="B44:C45"/>
    <mergeCell ref="D44:E45"/>
    <mergeCell ref="F44:G45"/>
    <mergeCell ref="H44:K45"/>
    <mergeCell ref="D53:E53"/>
    <mergeCell ref="F53:G53"/>
    <mergeCell ref="B54:C54"/>
    <mergeCell ref="D54:E54"/>
    <mergeCell ref="F54:G54"/>
    <mergeCell ref="H54:K54"/>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22"/>
    <col customWidth="1" min="2" max="2" width="4.0"/>
    <col customWidth="1" min="3" max="3" width="16.33"/>
    <col customWidth="1" min="4" max="4" width="22.33"/>
    <col customWidth="1" min="5" max="5" width="8.33"/>
    <col customWidth="1" min="6" max="6" width="9.44"/>
    <col customWidth="1" min="7" max="7" width="8.11"/>
    <col customWidth="1" min="8" max="8" width="6.56"/>
    <col customWidth="1" min="9" max="9" width="5.11"/>
    <col customWidth="1" min="10" max="10" width="11.0"/>
    <col customWidth="1" min="11" max="11" width="29.78"/>
    <col customWidth="1" min="12" max="13" width="14.11"/>
    <col customWidth="1" min="14" max="28" width="10.56"/>
  </cols>
  <sheetData>
    <row r="1" ht="15.75" customHeight="1"/>
    <row r="2" ht="15.75" customHeight="1"/>
    <row r="3" ht="15.75" customHeight="1">
      <c r="B3" s="458" t="s">
        <v>542</v>
      </c>
      <c r="C3" s="262"/>
      <c r="D3" s="263"/>
      <c r="E3" s="263"/>
      <c r="F3" s="263"/>
      <c r="G3" s="263"/>
      <c r="H3" s="263"/>
    </row>
    <row r="4" ht="15.75" customHeight="1">
      <c r="C4" s="262"/>
      <c r="D4" s="263"/>
      <c r="E4" s="263"/>
      <c r="F4" s="263"/>
      <c r="G4" s="263"/>
      <c r="H4" s="263"/>
    </row>
    <row r="5" ht="15.75" customHeight="1">
      <c r="C5" s="262"/>
      <c r="D5" s="263"/>
      <c r="E5" s="263"/>
      <c r="F5" s="263"/>
      <c r="G5" s="263"/>
      <c r="H5" s="263"/>
      <c r="I5" s="263"/>
      <c r="J5" s="263"/>
      <c r="K5" s="263"/>
      <c r="L5" s="263"/>
      <c r="M5" s="263"/>
    </row>
    <row r="6" ht="15.75" customHeight="1">
      <c r="B6" s="459" t="s">
        <v>201</v>
      </c>
      <c r="C6" s="211"/>
      <c r="D6" s="212"/>
      <c r="E6" s="213"/>
      <c r="F6" s="213"/>
      <c r="G6" s="213"/>
      <c r="H6" s="213"/>
      <c r="I6" s="213"/>
      <c r="J6" s="213"/>
      <c r="K6" s="213"/>
      <c r="L6" s="207"/>
      <c r="M6" s="208"/>
    </row>
    <row r="7" ht="15.75" customHeight="1">
      <c r="B7" s="210"/>
      <c r="C7" s="211"/>
      <c r="D7" s="212"/>
      <c r="E7" s="213"/>
      <c r="F7" s="213"/>
      <c r="G7" s="213"/>
      <c r="H7" s="213"/>
      <c r="I7" s="213"/>
      <c r="J7" s="213"/>
      <c r="K7" s="213"/>
      <c r="L7" s="213"/>
      <c r="M7" s="214"/>
    </row>
    <row r="8" ht="15.75" customHeight="1">
      <c r="B8" s="218"/>
      <c r="C8" s="219" t="s">
        <v>155</v>
      </c>
      <c r="D8" s="220" t="s">
        <v>156</v>
      </c>
      <c r="E8" s="221" t="s">
        <v>157</v>
      </c>
      <c r="F8" s="221" t="s">
        <v>205</v>
      </c>
      <c r="G8" s="221" t="s">
        <v>206</v>
      </c>
      <c r="H8" s="221" t="s">
        <v>207</v>
      </c>
      <c r="I8" s="221" t="s">
        <v>208</v>
      </c>
      <c r="J8" s="460" t="s">
        <v>270</v>
      </c>
      <c r="K8" s="234" t="s">
        <v>47</v>
      </c>
      <c r="L8" s="225" t="s">
        <v>212</v>
      </c>
      <c r="M8" s="292" t="s">
        <v>214</v>
      </c>
    </row>
    <row r="9" ht="15.75" customHeight="1">
      <c r="B9" s="230"/>
      <c r="C9" s="231"/>
      <c r="D9" s="232"/>
      <c r="E9" s="233"/>
      <c r="F9" s="233"/>
      <c r="G9" s="233"/>
      <c r="H9" s="233"/>
      <c r="I9" s="224"/>
      <c r="J9" s="234"/>
      <c r="K9" s="234"/>
      <c r="L9" s="233"/>
      <c r="M9" s="293"/>
    </row>
    <row r="10" ht="15.75" customHeight="1">
      <c r="B10" s="218"/>
      <c r="C10" s="253" t="s">
        <v>543</v>
      </c>
      <c r="D10" s="242" t="s">
        <v>544</v>
      </c>
      <c r="E10" s="244">
        <v>192.0</v>
      </c>
      <c r="F10" s="242">
        <v>1.5</v>
      </c>
      <c r="G10" s="242" t="s">
        <v>545</v>
      </c>
      <c r="H10" s="253">
        <v>12.0</v>
      </c>
      <c r="I10" s="253" t="s">
        <v>222</v>
      </c>
      <c r="J10" s="253" t="s">
        <v>546</v>
      </c>
      <c r="K10" s="253" t="s">
        <v>547</v>
      </c>
      <c r="L10" s="233"/>
      <c r="M10" s="293"/>
    </row>
    <row r="11" ht="15.75" customHeight="1">
      <c r="B11" s="218"/>
      <c r="C11" s="242"/>
      <c r="D11" s="242"/>
      <c r="E11" s="243"/>
      <c r="F11" s="242"/>
      <c r="G11" s="242"/>
      <c r="H11" s="242"/>
      <c r="I11" s="242"/>
      <c r="J11" s="242"/>
      <c r="K11" s="242"/>
      <c r="L11" s="233"/>
      <c r="M11" s="293"/>
    </row>
    <row r="12" ht="15.75" customHeight="1">
      <c r="B12" s="461"/>
      <c r="C12" s="253" t="s">
        <v>548</v>
      </c>
      <c r="D12" s="242" t="s">
        <v>549</v>
      </c>
      <c r="E12" s="253">
        <v>16.0</v>
      </c>
      <c r="F12" s="242">
        <v>8.8</v>
      </c>
      <c r="G12" s="242" t="s">
        <v>545</v>
      </c>
      <c r="H12" s="242">
        <v>10.0</v>
      </c>
      <c r="I12" s="242" t="s">
        <v>222</v>
      </c>
      <c r="J12" s="253" t="s">
        <v>546</v>
      </c>
      <c r="K12" s="253" t="s">
        <v>550</v>
      </c>
      <c r="L12" s="233"/>
      <c r="M12" s="293"/>
    </row>
    <row r="13" ht="15.75" customHeight="1">
      <c r="B13" s="218"/>
      <c r="C13" s="242"/>
      <c r="D13" s="242"/>
      <c r="E13" s="242"/>
      <c r="F13" s="242"/>
      <c r="G13" s="242"/>
      <c r="H13" s="242"/>
      <c r="I13" s="242"/>
      <c r="J13" s="242"/>
      <c r="K13" s="242"/>
      <c r="L13" s="263"/>
      <c r="M13" s="296"/>
    </row>
    <row r="14" ht="15.75" customHeight="1">
      <c r="B14" s="218"/>
      <c r="C14" s="253" t="s">
        <v>551</v>
      </c>
      <c r="D14" s="242" t="s">
        <v>552</v>
      </c>
      <c r="E14" s="242">
        <v>96.0</v>
      </c>
      <c r="F14" s="242">
        <v>9.5</v>
      </c>
      <c r="G14" s="242" t="s">
        <v>545</v>
      </c>
      <c r="H14" s="253">
        <v>10.0</v>
      </c>
      <c r="I14" s="242" t="s">
        <v>222</v>
      </c>
      <c r="J14" s="253" t="s">
        <v>546</v>
      </c>
      <c r="K14" s="242" t="s">
        <v>553</v>
      </c>
      <c r="L14" s="263"/>
      <c r="M14" s="296"/>
    </row>
    <row r="15" ht="15.75" customHeight="1">
      <c r="B15" s="218"/>
      <c r="C15" s="242"/>
      <c r="D15" s="242"/>
      <c r="E15" s="242"/>
      <c r="F15" s="242"/>
      <c r="G15" s="242"/>
      <c r="H15" s="242"/>
      <c r="I15" s="242"/>
      <c r="J15" s="242"/>
      <c r="K15" s="242"/>
      <c r="L15" s="263"/>
      <c r="M15" s="296"/>
    </row>
    <row r="16" ht="15.75" customHeight="1">
      <c r="B16" s="218"/>
      <c r="C16" s="253" t="s">
        <v>554</v>
      </c>
      <c r="D16" s="242" t="s">
        <v>555</v>
      </c>
      <c r="E16" s="242">
        <v>96.0</v>
      </c>
      <c r="F16" s="242">
        <v>3.0</v>
      </c>
      <c r="G16" s="242" t="s">
        <v>545</v>
      </c>
      <c r="H16" s="253">
        <v>12.0</v>
      </c>
      <c r="I16" s="242" t="s">
        <v>222</v>
      </c>
      <c r="J16" s="253" t="s">
        <v>546</v>
      </c>
      <c r="K16" s="253" t="s">
        <v>556</v>
      </c>
      <c r="L16" s="263"/>
      <c r="M16" s="296"/>
    </row>
    <row r="17" ht="15.75" customHeight="1">
      <c r="B17" s="218"/>
      <c r="C17" s="242"/>
      <c r="D17" s="242"/>
      <c r="E17" s="242"/>
      <c r="F17" s="242"/>
      <c r="G17" s="242"/>
      <c r="H17" s="242"/>
      <c r="I17" s="242"/>
      <c r="J17" s="242"/>
      <c r="K17" s="242"/>
      <c r="L17" s="263"/>
      <c r="M17" s="296"/>
    </row>
    <row r="18" ht="15.75" customHeight="1">
      <c r="B18" s="218"/>
      <c r="C18" s="253" t="s">
        <v>557</v>
      </c>
      <c r="D18" s="242" t="s">
        <v>558</v>
      </c>
      <c r="E18" s="253">
        <v>16.0</v>
      </c>
      <c r="F18" s="242">
        <v>1.3</v>
      </c>
      <c r="G18" s="242" t="s">
        <v>545</v>
      </c>
      <c r="H18" s="253">
        <v>12.0</v>
      </c>
      <c r="I18" s="242" t="s">
        <v>222</v>
      </c>
      <c r="J18" s="253" t="s">
        <v>546</v>
      </c>
      <c r="K18" s="253" t="s">
        <v>559</v>
      </c>
      <c r="L18" s="263"/>
      <c r="M18" s="296"/>
    </row>
    <row r="19" ht="15.75" customHeight="1">
      <c r="B19" s="218"/>
      <c r="C19" s="242"/>
      <c r="D19" s="242"/>
      <c r="E19" s="242"/>
      <c r="F19" s="242"/>
      <c r="G19" s="242"/>
      <c r="H19" s="242"/>
      <c r="I19" s="242"/>
      <c r="J19" s="242"/>
      <c r="K19" s="242"/>
      <c r="L19" s="263"/>
      <c r="M19" s="296"/>
    </row>
    <row r="20" ht="15.75" customHeight="1">
      <c r="B20" s="218"/>
      <c r="C20" s="253" t="s">
        <v>560</v>
      </c>
      <c r="D20" s="242" t="s">
        <v>561</v>
      </c>
      <c r="E20" s="253">
        <v>16.0</v>
      </c>
      <c r="F20" s="242">
        <v>5.0</v>
      </c>
      <c r="G20" s="242" t="s">
        <v>545</v>
      </c>
      <c r="H20" s="253">
        <v>1.0</v>
      </c>
      <c r="I20" s="242" t="s">
        <v>222</v>
      </c>
      <c r="J20" s="253" t="s">
        <v>546</v>
      </c>
      <c r="K20" s="253" t="s">
        <v>562</v>
      </c>
      <c r="L20" s="263"/>
      <c r="M20" s="296"/>
    </row>
    <row r="21" ht="15.75" customHeight="1">
      <c r="B21" s="218"/>
      <c r="C21" s="242"/>
      <c r="D21" s="242"/>
      <c r="E21" s="242"/>
      <c r="F21" s="242"/>
      <c r="G21" s="242"/>
      <c r="H21" s="242"/>
      <c r="I21" s="242"/>
      <c r="J21" s="242"/>
      <c r="K21" s="242"/>
      <c r="L21" s="263"/>
      <c r="M21" s="296"/>
    </row>
    <row r="22" ht="15.75" customHeight="1">
      <c r="B22" s="218"/>
      <c r="C22" s="253" t="s">
        <v>563</v>
      </c>
      <c r="D22" s="242" t="s">
        <v>564</v>
      </c>
      <c r="E22" s="242">
        <v>4.0</v>
      </c>
      <c r="F22" s="242">
        <v>1.3</v>
      </c>
      <c r="G22" s="242" t="s">
        <v>545</v>
      </c>
      <c r="H22" s="253">
        <v>12.0</v>
      </c>
      <c r="I22" s="242" t="s">
        <v>222</v>
      </c>
      <c r="J22" s="253" t="s">
        <v>546</v>
      </c>
      <c r="K22" s="242" t="s">
        <v>565</v>
      </c>
      <c r="L22" s="263"/>
      <c r="M22" s="296"/>
    </row>
    <row r="23" ht="15.75" customHeight="1">
      <c r="B23" s="218"/>
      <c r="C23" s="242"/>
      <c r="D23" s="242"/>
      <c r="E23" s="242"/>
      <c r="F23" s="242"/>
      <c r="G23" s="242"/>
      <c r="H23" s="242"/>
      <c r="I23" s="242"/>
      <c r="J23" s="242"/>
      <c r="K23" s="242"/>
      <c r="L23" s="263"/>
      <c r="M23" s="296"/>
    </row>
    <row r="24" ht="15.75" customHeight="1">
      <c r="B24" s="218"/>
      <c r="C24" s="253" t="s">
        <v>563</v>
      </c>
      <c r="D24" s="242" t="s">
        <v>566</v>
      </c>
      <c r="E24" s="242">
        <v>4.0</v>
      </c>
      <c r="F24" s="242">
        <v>0.5</v>
      </c>
      <c r="G24" s="242" t="s">
        <v>545</v>
      </c>
      <c r="H24" s="253">
        <v>12.0</v>
      </c>
      <c r="I24" s="242" t="s">
        <v>222</v>
      </c>
      <c r="J24" s="253" t="s">
        <v>546</v>
      </c>
      <c r="K24" s="253" t="s">
        <v>567</v>
      </c>
      <c r="L24" s="263"/>
      <c r="M24" s="296"/>
    </row>
    <row r="25" ht="15.75" customHeight="1">
      <c r="B25" s="218"/>
      <c r="C25" s="242"/>
      <c r="D25" s="242"/>
      <c r="E25" s="242"/>
      <c r="F25" s="242"/>
      <c r="G25" s="242"/>
      <c r="H25" s="242"/>
      <c r="I25" s="242"/>
      <c r="J25" s="242"/>
      <c r="K25" s="242"/>
      <c r="L25" s="263"/>
      <c r="M25" s="296"/>
    </row>
    <row r="26" ht="15.75" customHeight="1">
      <c r="B26" s="218"/>
      <c r="C26" s="253" t="s">
        <v>568</v>
      </c>
      <c r="D26" s="242" t="s">
        <v>569</v>
      </c>
      <c r="E26" s="253">
        <v>192.0</v>
      </c>
      <c r="F26" s="242">
        <v>1.5</v>
      </c>
      <c r="G26" s="242" t="s">
        <v>545</v>
      </c>
      <c r="H26" s="253">
        <v>12.0</v>
      </c>
      <c r="I26" s="242" t="s">
        <v>222</v>
      </c>
      <c r="J26" s="253" t="s">
        <v>546</v>
      </c>
      <c r="K26" s="253" t="s">
        <v>570</v>
      </c>
      <c r="L26" s="263"/>
      <c r="M26" s="296"/>
    </row>
    <row r="27" ht="15.75" customHeight="1">
      <c r="B27" s="462"/>
      <c r="C27" s="289"/>
      <c r="D27" s="290"/>
      <c r="E27" s="290"/>
      <c r="F27" s="290"/>
      <c r="G27" s="290"/>
      <c r="H27" s="290"/>
      <c r="I27" s="290"/>
      <c r="J27" s="290"/>
      <c r="K27" s="290"/>
      <c r="L27" s="290"/>
      <c r="M27" s="305"/>
    </row>
    <row r="28" ht="15.75" customHeight="1">
      <c r="C28" s="262"/>
      <c r="D28" s="263"/>
      <c r="E28" s="263"/>
      <c r="F28" s="263"/>
      <c r="G28" s="263"/>
      <c r="H28" s="263"/>
      <c r="I28" s="263"/>
      <c r="J28" s="263"/>
      <c r="K28" s="263"/>
      <c r="L28" s="263"/>
      <c r="M28" s="263"/>
    </row>
    <row r="29" ht="15.75" customHeight="1">
      <c r="C29" s="262"/>
      <c r="D29" s="263"/>
      <c r="E29" s="263"/>
      <c r="F29" s="263"/>
      <c r="G29" s="263"/>
      <c r="H29" s="263"/>
      <c r="I29" s="263"/>
      <c r="J29" s="263"/>
      <c r="K29" s="263"/>
      <c r="L29" s="263"/>
      <c r="M29" s="263"/>
    </row>
    <row r="30" ht="15.75" customHeight="1">
      <c r="B30" s="463" t="s">
        <v>242</v>
      </c>
      <c r="C30" s="207"/>
      <c r="D30" s="207"/>
      <c r="E30" s="207"/>
      <c r="F30" s="207"/>
      <c r="G30" s="207"/>
      <c r="H30" s="207"/>
      <c r="I30" s="207"/>
      <c r="J30" s="207"/>
      <c r="K30" s="207"/>
      <c r="L30" s="207"/>
      <c r="M30" s="208"/>
    </row>
    <row r="31" ht="15.75" customHeight="1">
      <c r="B31" s="464"/>
      <c r="C31" s="465"/>
      <c r="D31" s="207"/>
      <c r="E31" s="207"/>
      <c r="F31" s="207"/>
      <c r="G31" s="207"/>
      <c r="H31" s="207"/>
      <c r="I31" s="207"/>
      <c r="J31" s="207"/>
      <c r="K31" s="207"/>
      <c r="L31" s="207"/>
      <c r="M31" s="208"/>
    </row>
    <row r="32" ht="15.75" customHeight="1">
      <c r="B32" s="265"/>
      <c r="C32" s="466" t="s">
        <v>243</v>
      </c>
      <c r="D32" s="467" t="s">
        <v>244</v>
      </c>
      <c r="E32" s="467" t="s">
        <v>206</v>
      </c>
      <c r="F32" s="467" t="s">
        <v>245</v>
      </c>
      <c r="G32" s="468" t="s">
        <v>246</v>
      </c>
      <c r="H32" s="469"/>
      <c r="L32" s="263"/>
      <c r="M32" s="296"/>
    </row>
    <row r="33" ht="15.75" customHeight="1">
      <c r="B33" s="265"/>
      <c r="C33" s="470" t="s">
        <v>487</v>
      </c>
      <c r="D33" s="471">
        <f>(E10/2)*PI()*((F10/2)/25.4)^2</f>
        <v>0.262951831</v>
      </c>
      <c r="E33" s="471" t="s">
        <v>248</v>
      </c>
      <c r="F33" s="471" t="s">
        <v>571</v>
      </c>
      <c r="G33" s="472" t="s">
        <v>572</v>
      </c>
      <c r="H33" s="263"/>
      <c r="L33" s="263"/>
      <c r="M33" s="296"/>
    </row>
    <row r="34" ht="15.75" customHeight="1">
      <c r="B34" s="265"/>
      <c r="C34" s="473" t="s">
        <v>489</v>
      </c>
      <c r="D34" s="474">
        <f>D33</f>
        <v>0.262951831</v>
      </c>
      <c r="E34" s="474" t="s">
        <v>248</v>
      </c>
      <c r="F34" s="474" t="s">
        <v>571</v>
      </c>
      <c r="G34" s="475" t="s">
        <v>573</v>
      </c>
      <c r="H34" s="263"/>
      <c r="L34" s="263"/>
      <c r="M34" s="296"/>
    </row>
    <row r="35" ht="15.75" customHeight="1">
      <c r="B35" s="265"/>
      <c r="C35" s="476" t="s">
        <v>494</v>
      </c>
      <c r="D35" s="474">
        <f t="shared" ref="D35:D36" si="1">D33</f>
        <v>0.262951831</v>
      </c>
      <c r="E35" s="474" t="s">
        <v>248</v>
      </c>
      <c r="F35" s="474" t="s">
        <v>571</v>
      </c>
      <c r="G35" s="475" t="s">
        <v>572</v>
      </c>
      <c r="H35" s="263"/>
      <c r="L35" s="263"/>
      <c r="M35" s="296"/>
    </row>
    <row r="36" ht="15.75" customHeight="1">
      <c r="B36" s="265"/>
      <c r="C36" s="477" t="s">
        <v>495</v>
      </c>
      <c r="D36" s="478">
        <f t="shared" si="1"/>
        <v>0.262951831</v>
      </c>
      <c r="E36" s="478" t="s">
        <v>248</v>
      </c>
      <c r="F36" s="478" t="s">
        <v>571</v>
      </c>
      <c r="G36" s="479" t="s">
        <v>573</v>
      </c>
      <c r="H36" s="263"/>
      <c r="L36" s="263"/>
      <c r="M36" s="296"/>
    </row>
    <row r="37" ht="15.75" customHeight="1">
      <c r="B37" s="265"/>
      <c r="C37" s="480" t="s">
        <v>496</v>
      </c>
      <c r="D37" s="481">
        <f>(E12/2)*PI()*((F12/2)/25.4)^2</f>
        <v>0.7541848072</v>
      </c>
      <c r="E37" s="481" t="s">
        <v>248</v>
      </c>
      <c r="F37" s="481" t="s">
        <v>574</v>
      </c>
      <c r="G37" s="482" t="s">
        <v>572</v>
      </c>
      <c r="H37" s="263"/>
      <c r="L37" s="263"/>
      <c r="M37" s="296"/>
    </row>
    <row r="38" ht="15.75" customHeight="1">
      <c r="B38" s="265"/>
      <c r="C38" s="480" t="s">
        <v>498</v>
      </c>
      <c r="D38" s="481">
        <f>D37</f>
        <v>0.7541848072</v>
      </c>
      <c r="E38" s="481" t="s">
        <v>248</v>
      </c>
      <c r="F38" s="481" t="s">
        <v>574</v>
      </c>
      <c r="G38" s="482" t="s">
        <v>573</v>
      </c>
      <c r="H38" s="263"/>
      <c r="L38" s="263"/>
      <c r="M38" s="296"/>
    </row>
    <row r="39" ht="15.75" customHeight="1">
      <c r="B39" s="265"/>
      <c r="C39" s="480" t="s">
        <v>496</v>
      </c>
      <c r="D39" s="481">
        <f>(E14/2)*PI()*((F14/2)/25.4)^2</f>
        <v>5.273645055</v>
      </c>
      <c r="E39" s="481" t="s">
        <v>248</v>
      </c>
      <c r="F39" s="481" t="s">
        <v>574</v>
      </c>
      <c r="G39" s="482" t="s">
        <v>572</v>
      </c>
      <c r="H39" s="263"/>
      <c r="L39" s="263"/>
      <c r="M39" s="296"/>
    </row>
    <row r="40" ht="15.75" customHeight="1">
      <c r="B40" s="265"/>
      <c r="C40" s="480" t="s">
        <v>498</v>
      </c>
      <c r="D40" s="481">
        <f>D39</f>
        <v>5.273645055</v>
      </c>
      <c r="E40" s="481" t="s">
        <v>248</v>
      </c>
      <c r="F40" s="481" t="s">
        <v>574</v>
      </c>
      <c r="G40" s="482" t="s">
        <v>573</v>
      </c>
      <c r="H40" s="263"/>
      <c r="L40" s="263"/>
      <c r="M40" s="296"/>
    </row>
    <row r="41" ht="15.75" customHeight="1">
      <c r="B41" s="265"/>
      <c r="C41" s="483" t="s">
        <v>500</v>
      </c>
      <c r="D41" s="481">
        <f>sum(D37,D39)</f>
        <v>6.027829862</v>
      </c>
      <c r="E41" s="481" t="s">
        <v>248</v>
      </c>
      <c r="F41" s="481" t="s">
        <v>574</v>
      </c>
      <c r="G41" s="482" t="s">
        <v>572</v>
      </c>
      <c r="H41" s="263"/>
      <c r="L41" s="263"/>
      <c r="M41" s="296"/>
    </row>
    <row r="42" ht="15.75" customHeight="1">
      <c r="B42" s="265"/>
      <c r="C42" s="483" t="s">
        <v>501</v>
      </c>
      <c r="D42" s="481">
        <f>D41</f>
        <v>6.027829862</v>
      </c>
      <c r="E42" s="481" t="s">
        <v>248</v>
      </c>
      <c r="F42" s="481" t="s">
        <v>574</v>
      </c>
      <c r="G42" s="482" t="s">
        <v>573</v>
      </c>
      <c r="H42" s="263"/>
      <c r="L42" s="263"/>
      <c r="M42" s="296"/>
    </row>
    <row r="43" ht="15.75" customHeight="1">
      <c r="B43" s="265"/>
      <c r="C43" s="484" t="s">
        <v>575</v>
      </c>
      <c r="D43" s="485">
        <f>(E16/2)*PI()*((F16/2)/25.4)^2</f>
        <v>0.525903662</v>
      </c>
      <c r="E43" s="485" t="s">
        <v>248</v>
      </c>
      <c r="F43" s="485" t="s">
        <v>574</v>
      </c>
      <c r="G43" s="486" t="s">
        <v>261</v>
      </c>
      <c r="H43" s="263"/>
      <c r="L43" s="263"/>
      <c r="M43" s="296"/>
    </row>
    <row r="44" ht="15.75" customHeight="1">
      <c r="B44" s="265"/>
      <c r="C44" s="487" t="s">
        <v>576</v>
      </c>
      <c r="D44" s="488">
        <f>D43</f>
        <v>0.525903662</v>
      </c>
      <c r="E44" s="488" t="s">
        <v>248</v>
      </c>
      <c r="F44" s="488" t="s">
        <v>574</v>
      </c>
      <c r="G44" s="489" t="s">
        <v>261</v>
      </c>
      <c r="H44" s="263"/>
      <c r="L44" s="263"/>
      <c r="M44" s="296"/>
    </row>
    <row r="45" ht="15.75" customHeight="1">
      <c r="B45" s="265"/>
      <c r="C45" s="487" t="s">
        <v>577</v>
      </c>
      <c r="D45" s="488">
        <f>(E18/2)*PI()*((F18/2)/25.4)^2</f>
        <v>0.01645883683</v>
      </c>
      <c r="E45" s="488" t="s">
        <v>248</v>
      </c>
      <c r="F45" s="488" t="s">
        <v>574</v>
      </c>
      <c r="G45" s="489" t="s">
        <v>261</v>
      </c>
      <c r="H45" s="263"/>
      <c r="L45" s="263"/>
      <c r="M45" s="296"/>
    </row>
    <row r="46" ht="15.75" customHeight="1">
      <c r="B46" s="265"/>
      <c r="C46" s="487" t="s">
        <v>578</v>
      </c>
      <c r="D46" s="488">
        <f>D45</f>
        <v>0.01645883683</v>
      </c>
      <c r="E46" s="488" t="s">
        <v>248</v>
      </c>
      <c r="F46" s="488" t="s">
        <v>574</v>
      </c>
      <c r="G46" s="489" t="s">
        <v>261</v>
      </c>
      <c r="H46" s="263"/>
      <c r="L46" s="263"/>
      <c r="M46" s="296"/>
    </row>
    <row r="47" ht="15.75" customHeight="1">
      <c r="B47" s="265"/>
      <c r="C47" s="487" t="s">
        <v>579</v>
      </c>
      <c r="D47" s="488">
        <f>(E20/2)*PI()*((F20/2)/25.4)^2</f>
        <v>0.2434739176</v>
      </c>
      <c r="E47" s="488" t="s">
        <v>248</v>
      </c>
      <c r="F47" s="488" t="s">
        <v>574</v>
      </c>
      <c r="G47" s="489" t="s">
        <v>574</v>
      </c>
      <c r="H47" s="263"/>
      <c r="L47" s="263"/>
      <c r="M47" s="296"/>
    </row>
    <row r="48" ht="15.75" customHeight="1">
      <c r="B48" s="265"/>
      <c r="C48" s="487" t="s">
        <v>580</v>
      </c>
      <c r="D48" s="488">
        <f>D47</f>
        <v>0.2434739176</v>
      </c>
      <c r="E48" s="488" t="s">
        <v>248</v>
      </c>
      <c r="F48" s="488" t="s">
        <v>574</v>
      </c>
      <c r="G48" s="489" t="s">
        <v>574</v>
      </c>
      <c r="H48" s="263"/>
      <c r="L48" s="263"/>
      <c r="M48" s="296"/>
    </row>
    <row r="49" ht="15.75" customHeight="1">
      <c r="B49" s="265"/>
      <c r="C49" s="487" t="s">
        <v>579</v>
      </c>
      <c r="D49" s="488">
        <f>(E22/2)*PI()*((F22/2)/25.4)^2</f>
        <v>0.004114709207</v>
      </c>
      <c r="E49" s="488" t="s">
        <v>248</v>
      </c>
      <c r="F49" s="488" t="s">
        <v>574</v>
      </c>
      <c r="G49" s="489" t="s">
        <v>261</v>
      </c>
      <c r="H49" s="263"/>
      <c r="L49" s="263"/>
      <c r="M49" s="296"/>
    </row>
    <row r="50" ht="15.75" customHeight="1">
      <c r="B50" s="265"/>
      <c r="C50" s="487" t="s">
        <v>580</v>
      </c>
      <c r="D50" s="488">
        <f>D49</f>
        <v>0.004114709207</v>
      </c>
      <c r="E50" s="488" t="s">
        <v>248</v>
      </c>
      <c r="F50" s="488" t="s">
        <v>574</v>
      </c>
      <c r="G50" s="489" t="s">
        <v>261</v>
      </c>
      <c r="H50" s="263"/>
      <c r="I50" s="263"/>
      <c r="J50" s="263"/>
      <c r="K50" s="263"/>
      <c r="L50" s="263"/>
      <c r="M50" s="296"/>
    </row>
    <row r="51" ht="15.75" customHeight="1">
      <c r="B51" s="9"/>
      <c r="C51" s="487" t="s">
        <v>579</v>
      </c>
      <c r="D51" s="488">
        <f>(E24/2)*PI()*((F24/2)/25.4)^2</f>
        <v>0.000608684794</v>
      </c>
      <c r="E51" s="488" t="s">
        <v>248</v>
      </c>
      <c r="F51" s="488" t="s">
        <v>574</v>
      </c>
      <c r="G51" s="489" t="s">
        <v>261</v>
      </c>
      <c r="M51" s="10"/>
    </row>
    <row r="52" ht="15.75" customHeight="1">
      <c r="B52" s="9"/>
      <c r="C52" s="487" t="s">
        <v>580</v>
      </c>
      <c r="D52" s="488">
        <f>D51</f>
        <v>0.000608684794</v>
      </c>
      <c r="E52" s="488" t="s">
        <v>248</v>
      </c>
      <c r="F52" s="488" t="s">
        <v>574</v>
      </c>
      <c r="G52" s="489" t="s">
        <v>261</v>
      </c>
      <c r="M52" s="10"/>
    </row>
    <row r="53" ht="15.75" customHeight="1">
      <c r="B53" s="9"/>
      <c r="C53" s="490" t="s">
        <v>581</v>
      </c>
      <c r="D53" s="488">
        <f>(E26/2)*PI()*((F26/2)/25.4)^2</f>
        <v>0.262951831</v>
      </c>
      <c r="E53" s="488" t="s">
        <v>248</v>
      </c>
      <c r="F53" s="488" t="s">
        <v>571</v>
      </c>
      <c r="G53" s="489" t="s">
        <v>572</v>
      </c>
      <c r="M53" s="10"/>
    </row>
    <row r="54" ht="15.75" customHeight="1">
      <c r="B54" s="9"/>
      <c r="C54" s="490" t="s">
        <v>582</v>
      </c>
      <c r="D54" s="488">
        <f>D53</f>
        <v>0.262951831</v>
      </c>
      <c r="E54" s="488" t="s">
        <v>248</v>
      </c>
      <c r="F54" s="488" t="s">
        <v>571</v>
      </c>
      <c r="G54" s="489" t="s">
        <v>573</v>
      </c>
      <c r="M54" s="10"/>
    </row>
    <row r="55" ht="15.75" customHeight="1">
      <c r="B55" s="9"/>
      <c r="C55" s="491" t="s">
        <v>583</v>
      </c>
      <c r="D55" s="488">
        <f>sum(D43,D45,D47,D49,D51,D53)</f>
        <v>1.053511641</v>
      </c>
      <c r="E55" s="488" t="s">
        <v>248</v>
      </c>
      <c r="F55" s="488" t="s">
        <v>249</v>
      </c>
      <c r="G55" s="492"/>
      <c r="M55" s="10"/>
    </row>
    <row r="56" ht="15.75" customHeight="1">
      <c r="B56" s="9"/>
      <c r="C56" s="493" t="s">
        <v>584</v>
      </c>
      <c r="D56" s="494">
        <f>D55</f>
        <v>1.053511641</v>
      </c>
      <c r="E56" s="494" t="s">
        <v>248</v>
      </c>
      <c r="F56" s="494" t="s">
        <v>249</v>
      </c>
      <c r="G56" s="495"/>
      <c r="M56" s="10"/>
    </row>
    <row r="57" ht="15.75" customHeight="1">
      <c r="B57" s="9"/>
      <c r="C57" s="496" t="s">
        <v>585</v>
      </c>
      <c r="D57" s="497">
        <f>sum(D35,D41,D55)</f>
        <v>7.344293335</v>
      </c>
      <c r="E57" s="498" t="s">
        <v>248</v>
      </c>
      <c r="F57" s="499"/>
      <c r="G57" s="500"/>
      <c r="M57" s="10"/>
    </row>
    <row r="58" ht="15.75" customHeight="1">
      <c r="B58" s="9"/>
      <c r="C58" s="501" t="s">
        <v>586</v>
      </c>
      <c r="D58" s="502">
        <f>D57</f>
        <v>7.344293335</v>
      </c>
      <c r="E58" s="503" t="s">
        <v>248</v>
      </c>
      <c r="F58" s="504"/>
      <c r="G58" s="505"/>
      <c r="M58" s="10"/>
    </row>
    <row r="59" ht="15.75" customHeight="1">
      <c r="B59" s="23"/>
      <c r="C59" s="24"/>
      <c r="D59" s="24"/>
      <c r="E59" s="24"/>
      <c r="F59" s="24"/>
      <c r="G59" s="24"/>
      <c r="H59" s="24"/>
      <c r="I59" s="24"/>
      <c r="J59" s="24"/>
      <c r="K59" s="24"/>
      <c r="L59" s="24"/>
      <c r="M59" s="25"/>
    </row>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44"/>
    <col customWidth="1" min="2" max="2" width="3.56"/>
    <col customWidth="1" min="3" max="3" width="22.11"/>
    <col customWidth="1" min="4" max="4" width="13.89"/>
    <col customWidth="1" min="5" max="5" width="14.67"/>
    <col customWidth="1" min="6" max="6" width="13.22"/>
    <col customWidth="1" min="7" max="7" width="7.78"/>
    <col customWidth="1" min="8" max="8" width="7.33"/>
    <col customWidth="1" min="9" max="9" width="5.78"/>
    <col customWidth="1" min="10" max="10" width="10.56"/>
    <col customWidth="1" min="11" max="11" width="33.33"/>
    <col customWidth="1" min="12" max="12" width="13.67"/>
    <col customWidth="1" min="13" max="13" width="12.0"/>
    <col customWidth="1" min="14" max="14" width="0.33"/>
    <col customWidth="1" min="15" max="32" width="10.56"/>
  </cols>
  <sheetData>
    <row r="1" ht="15.75" customHeight="1"/>
    <row r="2" ht="15.75" customHeight="1"/>
    <row r="3" ht="15.75" customHeight="1">
      <c r="B3" s="458" t="s">
        <v>587</v>
      </c>
      <c r="C3" s="262"/>
      <c r="D3" s="263"/>
      <c r="E3" s="263"/>
    </row>
    <row r="4" ht="15.75" customHeight="1">
      <c r="C4" s="262"/>
      <c r="D4" s="263"/>
      <c r="E4" s="263"/>
    </row>
    <row r="5" ht="15.75" customHeight="1">
      <c r="C5" s="262"/>
      <c r="D5" s="263"/>
      <c r="E5" s="263"/>
      <c r="F5" s="263"/>
      <c r="G5" s="263"/>
      <c r="H5" s="263"/>
      <c r="I5" s="263"/>
      <c r="J5" s="263"/>
      <c r="K5" s="263"/>
      <c r="L5" s="263"/>
      <c r="M5" s="263"/>
      <c r="N5" s="263"/>
    </row>
    <row r="6" ht="15.75" customHeight="1">
      <c r="B6" s="506" t="s">
        <v>588</v>
      </c>
      <c r="C6" s="2"/>
      <c r="D6" s="2"/>
      <c r="E6" s="2"/>
      <c r="F6" s="2"/>
      <c r="G6" s="2"/>
      <c r="H6" s="2"/>
      <c r="I6" s="2"/>
      <c r="J6" s="2"/>
      <c r="K6" s="200"/>
      <c r="L6" s="200"/>
      <c r="M6" s="201"/>
      <c r="N6" s="200"/>
    </row>
    <row r="7" ht="15.75" customHeight="1">
      <c r="B7" s="202" t="s">
        <v>201</v>
      </c>
      <c r="C7" s="203"/>
      <c r="D7" s="204"/>
      <c r="E7" s="205"/>
      <c r="F7" s="205"/>
      <c r="G7" s="205"/>
      <c r="H7" s="205"/>
      <c r="I7" s="205"/>
      <c r="J7" s="205"/>
      <c r="K7" s="205"/>
      <c r="L7" s="206"/>
      <c r="M7" s="291"/>
      <c r="N7" s="206"/>
    </row>
    <row r="8" ht="15.75" customHeight="1">
      <c r="B8" s="210"/>
      <c r="C8" s="211"/>
      <c r="D8" s="212"/>
      <c r="E8" s="213"/>
      <c r="F8" s="213"/>
      <c r="G8" s="213"/>
      <c r="H8" s="213"/>
      <c r="I8" s="213"/>
      <c r="J8" s="213"/>
      <c r="K8" s="213"/>
      <c r="L8" s="213"/>
      <c r="M8" s="214"/>
      <c r="N8" s="213"/>
    </row>
    <row r="9" ht="15.75" customHeight="1">
      <c r="B9" s="218"/>
      <c r="C9" s="219" t="s">
        <v>155</v>
      </c>
      <c r="D9" s="220" t="s">
        <v>156</v>
      </c>
      <c r="E9" s="221" t="s">
        <v>157</v>
      </c>
      <c r="F9" s="507" t="s">
        <v>205</v>
      </c>
      <c r="G9" s="507" t="s">
        <v>206</v>
      </c>
      <c r="H9" s="507" t="s">
        <v>207</v>
      </c>
      <c r="I9" s="507" t="s">
        <v>206</v>
      </c>
      <c r="J9" s="460" t="s">
        <v>270</v>
      </c>
      <c r="K9" s="234" t="s">
        <v>47</v>
      </c>
      <c r="L9" s="225" t="s">
        <v>212</v>
      </c>
      <c r="M9" s="292" t="s">
        <v>214</v>
      </c>
      <c r="N9" s="233"/>
    </row>
    <row r="10" ht="15.75" customHeight="1">
      <c r="B10" s="230"/>
      <c r="C10" s="231"/>
      <c r="D10" s="232"/>
      <c r="E10" s="233"/>
      <c r="F10" s="224"/>
      <c r="G10" s="224"/>
      <c r="H10" s="224"/>
      <c r="I10" s="224"/>
      <c r="J10" s="234"/>
      <c r="K10" s="234"/>
      <c r="L10" s="233"/>
      <c r="M10" s="293"/>
      <c r="N10" s="233"/>
    </row>
    <row r="11">
      <c r="B11" s="218"/>
      <c r="C11" s="508" t="s">
        <v>589</v>
      </c>
      <c r="D11" s="253" t="s">
        <v>590</v>
      </c>
      <c r="E11" s="508">
        <v>48.0</v>
      </c>
      <c r="F11" s="508">
        <v>8.6</v>
      </c>
      <c r="G11" s="508" t="s">
        <v>545</v>
      </c>
      <c r="H11" s="508">
        <v>2.0</v>
      </c>
      <c r="I11" s="508" t="s">
        <v>222</v>
      </c>
      <c r="J11" s="244" t="s">
        <v>591</v>
      </c>
      <c r="K11" s="509" t="s">
        <v>592</v>
      </c>
      <c r="L11" s="233"/>
      <c r="M11" s="293"/>
      <c r="N11" s="233"/>
    </row>
    <row r="12" ht="15.75" customHeight="1">
      <c r="B12" s="218"/>
      <c r="C12" s="508" t="s">
        <v>589</v>
      </c>
      <c r="D12" s="253" t="s">
        <v>593</v>
      </c>
      <c r="E12" s="508">
        <v>48.0</v>
      </c>
      <c r="F12" s="508">
        <v>8.6</v>
      </c>
      <c r="G12" s="508" t="s">
        <v>545</v>
      </c>
      <c r="H12" s="508">
        <v>10.0</v>
      </c>
      <c r="I12" s="508" t="s">
        <v>222</v>
      </c>
      <c r="J12" s="244" t="s">
        <v>591</v>
      </c>
      <c r="K12" s="509" t="s">
        <v>594</v>
      </c>
      <c r="L12" s="233"/>
      <c r="M12" s="293"/>
      <c r="N12" s="233"/>
    </row>
    <row r="13" ht="15.75" customHeight="1">
      <c r="B13" s="218"/>
      <c r="C13" s="508" t="s">
        <v>376</v>
      </c>
      <c r="D13" s="253" t="s">
        <v>595</v>
      </c>
      <c r="E13" s="508">
        <v>48.0</v>
      </c>
      <c r="F13" s="508">
        <v>10.0</v>
      </c>
      <c r="G13" s="508" t="s">
        <v>545</v>
      </c>
      <c r="H13" s="508">
        <v>5.0</v>
      </c>
      <c r="I13" s="508" t="s">
        <v>222</v>
      </c>
      <c r="J13" s="244"/>
      <c r="K13" s="509" t="s">
        <v>596</v>
      </c>
      <c r="L13" s="233"/>
      <c r="M13" s="293"/>
      <c r="N13" s="233"/>
    </row>
    <row r="14" ht="15.75" customHeight="1">
      <c r="B14" s="218"/>
      <c r="C14" s="510"/>
      <c r="D14" s="242"/>
      <c r="E14" s="510"/>
      <c r="F14" s="510"/>
      <c r="G14" s="510"/>
      <c r="H14" s="510"/>
      <c r="I14" s="510"/>
      <c r="J14" s="244"/>
      <c r="K14" s="387"/>
      <c r="L14" s="233"/>
      <c r="M14" s="293"/>
      <c r="N14" s="233"/>
    </row>
    <row r="15" ht="15.75" customHeight="1">
      <c r="B15" s="218"/>
      <c r="C15" s="508" t="s">
        <v>597</v>
      </c>
      <c r="D15" s="253" t="s">
        <v>598</v>
      </c>
      <c r="E15" s="510">
        <f t="shared" ref="E15:E16" si="1">12*48</f>
        <v>576</v>
      </c>
      <c r="F15" s="508">
        <v>1.8</v>
      </c>
      <c r="G15" s="508" t="s">
        <v>545</v>
      </c>
      <c r="H15" s="508">
        <v>2.0</v>
      </c>
      <c r="I15" s="508" t="s">
        <v>222</v>
      </c>
      <c r="J15" s="244" t="s">
        <v>591</v>
      </c>
      <c r="K15" s="509" t="s">
        <v>599</v>
      </c>
      <c r="L15" s="233"/>
      <c r="M15" s="293"/>
      <c r="N15" s="233"/>
    </row>
    <row r="16" ht="15.75" customHeight="1">
      <c r="B16" s="218"/>
      <c r="C16" s="508" t="s">
        <v>597</v>
      </c>
      <c r="D16" s="253" t="s">
        <v>598</v>
      </c>
      <c r="E16" s="510">
        <f t="shared" si="1"/>
        <v>576</v>
      </c>
      <c r="F16" s="508">
        <v>1.8</v>
      </c>
      <c r="G16" s="508" t="s">
        <v>545</v>
      </c>
      <c r="H16" s="508">
        <v>8.0</v>
      </c>
      <c r="I16" s="508" t="s">
        <v>222</v>
      </c>
      <c r="J16" s="244" t="s">
        <v>591</v>
      </c>
      <c r="K16" s="509" t="s">
        <v>600</v>
      </c>
      <c r="L16" s="263"/>
      <c r="M16" s="296"/>
      <c r="N16" s="263"/>
    </row>
    <row r="17" ht="15.75" customHeight="1">
      <c r="B17" s="218"/>
      <c r="C17" s="510"/>
      <c r="D17" s="242"/>
      <c r="E17" s="510"/>
      <c r="F17" s="510"/>
      <c r="G17" s="510"/>
      <c r="H17" s="510"/>
      <c r="I17" s="510"/>
      <c r="J17" s="510"/>
      <c r="K17" s="387"/>
      <c r="L17" s="263"/>
      <c r="M17" s="296"/>
      <c r="N17" s="263"/>
    </row>
    <row r="18" ht="15.75" customHeight="1">
      <c r="B18" s="218"/>
      <c r="C18" s="508" t="s">
        <v>601</v>
      </c>
      <c r="D18" s="253" t="s">
        <v>602</v>
      </c>
      <c r="E18" s="508">
        <v>48.0</v>
      </c>
      <c r="F18" s="508"/>
      <c r="G18" s="508"/>
      <c r="H18" s="508"/>
      <c r="I18" s="508"/>
      <c r="J18" s="244"/>
      <c r="K18" s="509" t="s">
        <v>603</v>
      </c>
      <c r="L18" s="263"/>
      <c r="M18" s="296"/>
      <c r="N18" s="263"/>
    </row>
    <row r="19" ht="15.75" customHeight="1">
      <c r="B19" s="218"/>
      <c r="C19" s="508" t="s">
        <v>604</v>
      </c>
      <c r="D19" s="253"/>
      <c r="E19" s="508">
        <v>48.0</v>
      </c>
      <c r="F19" s="508"/>
      <c r="G19" s="508"/>
      <c r="H19" s="508"/>
      <c r="I19" s="508"/>
      <c r="J19" s="244"/>
      <c r="K19" s="511" t="s">
        <v>605</v>
      </c>
      <c r="L19" s="263"/>
      <c r="M19" s="296"/>
      <c r="N19" s="263"/>
    </row>
    <row r="20" ht="15.75" customHeight="1">
      <c r="B20" s="218"/>
      <c r="C20" s="508"/>
      <c r="D20" s="253"/>
      <c r="E20" s="508"/>
      <c r="F20" s="508"/>
      <c r="G20" s="508"/>
      <c r="H20" s="508"/>
      <c r="I20" s="508"/>
      <c r="J20" s="244"/>
      <c r="K20" s="509"/>
      <c r="L20" s="263"/>
      <c r="M20" s="296"/>
      <c r="N20" s="263"/>
    </row>
    <row r="21" ht="15.75" customHeight="1">
      <c r="B21" s="218"/>
      <c r="C21" s="508" t="s">
        <v>606</v>
      </c>
      <c r="D21" s="253" t="s">
        <v>607</v>
      </c>
      <c r="E21" s="508">
        <v>12.0</v>
      </c>
      <c r="F21" s="508">
        <v>6.0</v>
      </c>
      <c r="G21" s="508" t="s">
        <v>545</v>
      </c>
      <c r="H21" s="508">
        <v>10.0</v>
      </c>
      <c r="I21" s="508" t="s">
        <v>222</v>
      </c>
      <c r="J21" s="244" t="s">
        <v>591</v>
      </c>
      <c r="K21" s="509" t="s">
        <v>608</v>
      </c>
      <c r="L21" s="263"/>
      <c r="M21" s="296"/>
      <c r="N21" s="263"/>
    </row>
    <row r="22" ht="15.75" customHeight="1">
      <c r="B22" s="218"/>
      <c r="C22" s="508" t="s">
        <v>609</v>
      </c>
      <c r="D22" s="253" t="s">
        <v>610</v>
      </c>
      <c r="E22" s="508">
        <v>10.0</v>
      </c>
      <c r="F22" s="508">
        <v>4.0</v>
      </c>
      <c r="G22" s="508" t="s">
        <v>545</v>
      </c>
      <c r="H22" s="508">
        <v>10.0</v>
      </c>
      <c r="I22" s="508" t="s">
        <v>222</v>
      </c>
      <c r="J22" s="244" t="s">
        <v>591</v>
      </c>
      <c r="K22" s="509" t="s">
        <v>611</v>
      </c>
      <c r="L22" s="263"/>
      <c r="M22" s="296"/>
      <c r="N22" s="263"/>
    </row>
    <row r="23" ht="15.75" customHeight="1">
      <c r="B23" s="218"/>
      <c r="C23" s="512"/>
      <c r="D23" s="512"/>
      <c r="E23" s="512"/>
      <c r="F23" s="512"/>
      <c r="G23" s="512"/>
      <c r="H23" s="512"/>
      <c r="I23" s="512"/>
      <c r="J23" s="512"/>
      <c r="K23" s="512"/>
      <c r="L23" s="263"/>
      <c r="M23" s="296"/>
      <c r="N23" s="263"/>
    </row>
    <row r="24" ht="15.75" customHeight="1">
      <c r="B24" s="462"/>
      <c r="C24" s="513"/>
      <c r="D24" s="514"/>
      <c r="E24" s="290"/>
      <c r="F24" s="290"/>
      <c r="G24" s="290"/>
      <c r="H24" s="290"/>
      <c r="I24" s="290"/>
      <c r="J24" s="290"/>
      <c r="K24" s="290"/>
      <c r="L24" s="290"/>
      <c r="M24" s="305"/>
      <c r="N24" s="290"/>
    </row>
    <row r="25" ht="15.75" customHeight="1">
      <c r="B25" s="512"/>
      <c r="C25" s="515"/>
      <c r="D25" s="512"/>
      <c r="E25" s="263"/>
      <c r="F25" s="263"/>
      <c r="G25" s="263"/>
      <c r="H25" s="263"/>
      <c r="I25" s="263"/>
      <c r="J25" s="263"/>
      <c r="K25" s="263"/>
      <c r="L25" s="263"/>
      <c r="M25" s="263"/>
      <c r="N25" s="263"/>
    </row>
    <row r="26" ht="15.75" customHeight="1">
      <c r="B26" s="512"/>
      <c r="C26" s="262"/>
      <c r="D26" s="263"/>
      <c r="E26" s="263"/>
      <c r="F26" s="263"/>
      <c r="G26" s="263"/>
      <c r="H26" s="263"/>
      <c r="I26" s="263"/>
      <c r="J26" s="263"/>
      <c r="K26" s="263"/>
      <c r="L26" s="263"/>
      <c r="M26" s="263"/>
      <c r="N26" s="263"/>
    </row>
    <row r="27" ht="15.75" customHeight="1">
      <c r="B27" s="264" t="s">
        <v>242</v>
      </c>
      <c r="C27" s="206"/>
      <c r="D27" s="206"/>
      <c r="E27" s="206"/>
      <c r="F27" s="206"/>
      <c r="G27" s="206"/>
      <c r="H27" s="291"/>
      <c r="I27" s="263"/>
      <c r="J27" s="396"/>
      <c r="K27" s="263"/>
      <c r="L27" s="263"/>
      <c r="M27" s="263"/>
      <c r="N27" s="263"/>
    </row>
    <row r="28" ht="15.75" customHeight="1">
      <c r="B28" s="265"/>
      <c r="C28" s="262"/>
      <c r="D28" s="263"/>
      <c r="E28" s="263"/>
      <c r="F28" s="263"/>
      <c r="G28" s="263"/>
      <c r="H28" s="296"/>
      <c r="I28" s="263"/>
      <c r="J28" s="263"/>
      <c r="K28" s="263"/>
      <c r="L28" s="263"/>
      <c r="M28" s="263"/>
      <c r="N28" s="263"/>
    </row>
    <row r="29" ht="15.75" customHeight="1">
      <c r="B29" s="265"/>
      <c r="C29" s="516" t="s">
        <v>243</v>
      </c>
      <c r="D29" s="517" t="s">
        <v>244</v>
      </c>
      <c r="E29" s="517" t="s">
        <v>206</v>
      </c>
      <c r="F29" s="517" t="s">
        <v>245</v>
      </c>
      <c r="G29" s="518" t="s">
        <v>246</v>
      </c>
      <c r="H29" s="519"/>
      <c r="I29" s="469"/>
      <c r="K29" s="396"/>
      <c r="L29" s="263"/>
      <c r="M29" s="263"/>
      <c r="N29" s="263"/>
    </row>
    <row r="30" ht="15.75" customHeight="1">
      <c r="B30" s="265"/>
      <c r="C30" s="421" t="s">
        <v>376</v>
      </c>
      <c r="D30" s="520">
        <f>(E13)*PI()*POWER((F13/2)/25.4,2)</f>
        <v>5.843374022</v>
      </c>
      <c r="E30" s="270" t="s">
        <v>248</v>
      </c>
      <c r="F30" s="521" t="s">
        <v>612</v>
      </c>
      <c r="G30" s="298" t="s">
        <v>613</v>
      </c>
      <c r="H30" s="296"/>
      <c r="I30" s="263"/>
      <c r="J30" s="262"/>
      <c r="K30" s="263"/>
      <c r="L30" s="263"/>
      <c r="M30" s="263"/>
      <c r="N30" s="263"/>
    </row>
    <row r="31" ht="15.75" customHeight="1">
      <c r="B31" s="265"/>
      <c r="C31" s="522" t="s">
        <v>614</v>
      </c>
      <c r="D31" s="520">
        <f>SUM(D30)</f>
        <v>5.843374022</v>
      </c>
      <c r="E31" s="270" t="s">
        <v>248</v>
      </c>
      <c r="F31" s="270"/>
      <c r="G31" s="337"/>
      <c r="H31" s="296"/>
      <c r="I31" s="263"/>
      <c r="J31" s="263"/>
      <c r="K31" s="263"/>
      <c r="L31" s="263"/>
      <c r="M31" s="263"/>
      <c r="N31" s="263"/>
    </row>
    <row r="32" ht="15.75" customHeight="1">
      <c r="B32" s="265"/>
      <c r="C32" s="428" t="s">
        <v>615</v>
      </c>
      <c r="D32" s="523">
        <f>(E13)*PI()*POWER((F13/2)/25.4,2)</f>
        <v>5.843374022</v>
      </c>
      <c r="E32" s="430" t="s">
        <v>248</v>
      </c>
      <c r="F32" s="524" t="s">
        <v>616</v>
      </c>
      <c r="G32" s="525" t="s">
        <v>379</v>
      </c>
      <c r="H32" s="296"/>
      <c r="I32" s="263"/>
      <c r="J32" s="263"/>
      <c r="K32" s="263"/>
      <c r="L32" s="263"/>
      <c r="M32" s="263"/>
      <c r="N32" s="263"/>
    </row>
    <row r="33" ht="15.75" customHeight="1">
      <c r="B33" s="265"/>
      <c r="C33" s="428" t="s">
        <v>617</v>
      </c>
      <c r="D33" s="523">
        <f>(E13)*PI()*POWER((F13/2)/25.4,2)</f>
        <v>5.843374022</v>
      </c>
      <c r="E33" s="430" t="s">
        <v>248</v>
      </c>
      <c r="F33" s="524" t="s">
        <v>616</v>
      </c>
      <c r="G33" s="525" t="s">
        <v>379</v>
      </c>
      <c r="H33" s="296"/>
      <c r="I33" s="263"/>
      <c r="J33" s="263"/>
      <c r="K33" s="263"/>
      <c r="L33" s="263"/>
      <c r="M33" s="263"/>
      <c r="N33" s="263"/>
    </row>
    <row r="34" ht="15.75" customHeight="1">
      <c r="B34" s="265"/>
      <c r="C34" s="526" t="s">
        <v>618</v>
      </c>
      <c r="D34" s="523">
        <f>SUM(D32)</f>
        <v>5.843374022</v>
      </c>
      <c r="E34" s="430" t="s">
        <v>248</v>
      </c>
      <c r="F34" s="429"/>
      <c r="G34" s="527"/>
      <c r="H34" s="296"/>
      <c r="I34" s="263"/>
      <c r="J34" s="263"/>
      <c r="K34" s="263"/>
      <c r="L34" s="263"/>
      <c r="M34" s="263"/>
      <c r="N34" s="263"/>
    </row>
    <row r="35" ht="15.75" customHeight="1">
      <c r="B35" s="265"/>
      <c r="C35" s="528" t="s">
        <v>619</v>
      </c>
      <c r="D35" s="529">
        <f t="shared" ref="D35:D36" si="2">(E18)*PI()*POWER((F18/2)/25.4,2)</f>
        <v>0</v>
      </c>
      <c r="E35" s="530" t="s">
        <v>248</v>
      </c>
      <c r="F35" s="531" t="s">
        <v>613</v>
      </c>
      <c r="G35" s="302" t="s">
        <v>574</v>
      </c>
      <c r="H35" s="296"/>
      <c r="I35" s="263"/>
      <c r="J35" s="263"/>
      <c r="K35" s="263"/>
      <c r="L35" s="263"/>
      <c r="M35" s="263"/>
      <c r="N35" s="263"/>
    </row>
    <row r="36" ht="15.75" customHeight="1">
      <c r="B36" s="265"/>
      <c r="C36" s="528" t="s">
        <v>620</v>
      </c>
      <c r="D36" s="529">
        <f t="shared" si="2"/>
        <v>0</v>
      </c>
      <c r="E36" s="530" t="s">
        <v>248</v>
      </c>
      <c r="F36" s="531" t="s">
        <v>613</v>
      </c>
      <c r="G36" s="302" t="s">
        <v>574</v>
      </c>
      <c r="H36" s="296"/>
      <c r="I36" s="263"/>
      <c r="J36" s="263"/>
      <c r="K36" s="263"/>
      <c r="L36" s="263"/>
      <c r="M36" s="263"/>
      <c r="N36" s="263"/>
    </row>
    <row r="37" ht="15.75" customHeight="1">
      <c r="B37" s="265"/>
      <c r="C37" s="528" t="s">
        <v>621</v>
      </c>
      <c r="D37" s="529"/>
      <c r="E37" s="530" t="s">
        <v>248</v>
      </c>
      <c r="F37" s="531"/>
      <c r="G37" s="302"/>
      <c r="H37" s="296"/>
      <c r="I37" s="263"/>
      <c r="J37" s="263"/>
      <c r="K37" s="263"/>
      <c r="L37" s="263"/>
      <c r="M37" s="263"/>
      <c r="N37" s="263"/>
    </row>
    <row r="38" ht="15.75" customHeight="1">
      <c r="B38" s="265"/>
      <c r="C38" s="528" t="s">
        <v>622</v>
      </c>
      <c r="D38" s="529">
        <f>(E11)*PI()*POWER((F11/2)/25.4,2)</f>
        <v>4.321759427</v>
      </c>
      <c r="E38" s="530" t="s">
        <v>248</v>
      </c>
      <c r="F38" s="531" t="s">
        <v>616</v>
      </c>
      <c r="G38" s="302" t="s">
        <v>613</v>
      </c>
      <c r="H38" s="296"/>
      <c r="I38" s="263"/>
      <c r="J38" s="263"/>
      <c r="K38" s="263"/>
      <c r="L38" s="263"/>
      <c r="M38" s="263"/>
      <c r="N38" s="263"/>
    </row>
    <row r="39" ht="15.75" customHeight="1">
      <c r="B39" s="265"/>
      <c r="C39" s="528" t="s">
        <v>597</v>
      </c>
      <c r="D39" s="529">
        <f>(E16)*PI()*POWER((F16/2)/25.4,2)</f>
        <v>2.27190382</v>
      </c>
      <c r="E39" s="282" t="s">
        <v>248</v>
      </c>
      <c r="F39" s="531" t="s">
        <v>616</v>
      </c>
      <c r="G39" s="302" t="s">
        <v>612</v>
      </c>
      <c r="H39" s="296"/>
      <c r="I39" s="263"/>
      <c r="J39" s="263"/>
      <c r="K39" s="263"/>
      <c r="L39" s="263"/>
      <c r="M39" s="263"/>
      <c r="N39" s="263"/>
    </row>
    <row r="40" ht="15.75" customHeight="1">
      <c r="B40" s="265"/>
      <c r="C40" s="532" t="s">
        <v>623</v>
      </c>
      <c r="D40" s="533">
        <f>SUM(D38:D39)</f>
        <v>6.593663247</v>
      </c>
      <c r="E40" s="286" t="s">
        <v>248</v>
      </c>
      <c r="F40" s="276"/>
      <c r="G40" s="304"/>
      <c r="H40" s="296"/>
      <c r="I40" s="263"/>
      <c r="J40" s="263"/>
      <c r="K40" s="263"/>
      <c r="L40" s="263"/>
      <c r="M40" s="263"/>
      <c r="N40" s="263"/>
    </row>
    <row r="41" ht="15.75" customHeight="1">
      <c r="B41" s="288"/>
      <c r="C41" s="289"/>
      <c r="D41" s="290"/>
      <c r="E41" s="290"/>
      <c r="F41" s="290"/>
      <c r="G41" s="290"/>
      <c r="H41" s="305"/>
      <c r="I41" s="263"/>
      <c r="J41" s="263"/>
      <c r="K41" s="263"/>
      <c r="L41" s="263"/>
      <c r="M41" s="263"/>
      <c r="N41" s="263"/>
    </row>
    <row r="42" ht="15.75" customHeight="1"/>
    <row r="43" ht="15.75" customHeight="1"/>
    <row r="44" ht="15.75" customHeight="1">
      <c r="C44" s="534"/>
    </row>
    <row r="45" ht="15.75" customHeight="1"/>
    <row r="46" ht="15.75" customHeight="1"/>
    <row r="47" ht="15.75" customHeight="1"/>
    <row r="48" ht="15.75" customHeight="1">
      <c r="C48" s="118" t="s">
        <v>624</v>
      </c>
      <c r="D48" s="118" t="s">
        <v>625</v>
      </c>
      <c r="E48" s="118" t="s">
        <v>626</v>
      </c>
      <c r="F48" s="118" t="s">
        <v>627</v>
      </c>
      <c r="G48" s="118" t="s">
        <v>628</v>
      </c>
    </row>
    <row r="49" ht="15.75" customHeight="1">
      <c r="C49" s="118" t="s">
        <v>629</v>
      </c>
      <c r="D49" s="118">
        <v>8.5</v>
      </c>
      <c r="E49" s="118">
        <v>1.6</v>
      </c>
      <c r="F49">
        <f t="shared" ref="F49:F51" si="3">$D49*$E49</f>
        <v>13.6</v>
      </c>
      <c r="G49">
        <f t="shared" ref="G49:G51" si="4">$F49*48</f>
        <v>652.8</v>
      </c>
    </row>
    <row r="50" ht="15.75" customHeight="1">
      <c r="C50" s="118" t="s">
        <v>630</v>
      </c>
      <c r="D50" s="118">
        <v>3.3</v>
      </c>
      <c r="E50" s="118">
        <v>1.5</v>
      </c>
      <c r="F50">
        <f t="shared" si="3"/>
        <v>4.95</v>
      </c>
      <c r="G50">
        <f t="shared" si="4"/>
        <v>237.6</v>
      </c>
    </row>
    <row r="51" ht="15.75" customHeight="1">
      <c r="C51" s="118" t="s">
        <v>631</v>
      </c>
      <c r="D51" s="118">
        <v>5.0</v>
      </c>
      <c r="E51" s="118">
        <v>0.1</v>
      </c>
      <c r="F51">
        <f t="shared" si="3"/>
        <v>0.5</v>
      </c>
      <c r="G51">
        <f t="shared" si="4"/>
        <v>24</v>
      </c>
    </row>
    <row r="55" ht="15.75" customHeight="1">
      <c r="C55" s="118" t="s">
        <v>632</v>
      </c>
    </row>
    <row r="56" ht="15.75" customHeight="1">
      <c r="C56" s="118" t="s">
        <v>633</v>
      </c>
      <c r="D56" s="118">
        <v>1.5</v>
      </c>
      <c r="E56" s="118">
        <v>1.6</v>
      </c>
      <c r="F56">
        <f t="shared" ref="F56:F57" si="5">$D56*$E56</f>
        <v>2.4</v>
      </c>
      <c r="G56">
        <f t="shared" ref="G56:G57" si="6">$F56*48</f>
        <v>115.2</v>
      </c>
    </row>
    <row r="57" ht="15.75" customHeight="1">
      <c r="C57" s="118" t="s">
        <v>634</v>
      </c>
      <c r="D57" s="118">
        <v>1.5</v>
      </c>
      <c r="E57" s="118">
        <v>1.5</v>
      </c>
      <c r="F57">
        <f t="shared" si="5"/>
        <v>2.25</v>
      </c>
      <c r="G57">
        <f t="shared" si="6"/>
        <v>108</v>
      </c>
    </row>
    <row r="58" ht="15.75" customHeight="1">
      <c r="C58" s="137"/>
    </row>
    <row r="59" ht="15.75" customHeight="1">
      <c r="C59" s="137" t="s">
        <v>635</v>
      </c>
      <c r="G59">
        <f>SUM(G49:G57)</f>
        <v>1137.6</v>
      </c>
    </row>
    <row r="62" ht="15.75" customHeight="1">
      <c r="C62" s="137" t="s">
        <v>636</v>
      </c>
    </row>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1">
    <mergeCell ref="B6:J6"/>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0"/>
    <col customWidth="1" min="2" max="2" width="3.11"/>
    <col customWidth="1" min="3" max="3" width="17.67"/>
    <col customWidth="1" min="4" max="4" width="26.33"/>
    <col customWidth="1" min="5" max="5" width="16.33"/>
    <col customWidth="1" min="6" max="8" width="10.56"/>
    <col customWidth="1" min="9" max="9" width="6.78"/>
    <col customWidth="1" min="10" max="10" width="11.33"/>
    <col customWidth="1" min="11" max="11" width="24.0"/>
    <col customWidth="1" min="12" max="12" width="13.56"/>
    <col customWidth="1" min="13" max="13" width="14.67"/>
    <col customWidth="1" min="14" max="14" width="2.67"/>
    <col customWidth="1" min="15" max="29" width="10.56"/>
  </cols>
  <sheetData>
    <row r="1" ht="15.75" customHeight="1">
      <c r="A1" s="535"/>
    </row>
    <row r="2" ht="15.75" customHeight="1"/>
    <row r="3" ht="15.75" customHeight="1"/>
    <row r="4" ht="15.75" customHeight="1">
      <c r="B4" s="458" t="s">
        <v>637</v>
      </c>
      <c r="C4" s="262"/>
      <c r="D4" s="263"/>
      <c r="E4" s="263"/>
      <c r="F4" s="263"/>
      <c r="G4" s="263"/>
      <c r="H4" s="512"/>
    </row>
    <row r="5" ht="15.75" customHeight="1">
      <c r="B5" s="263"/>
      <c r="C5" s="262"/>
      <c r="D5" s="263"/>
      <c r="E5" s="263"/>
      <c r="F5" s="263"/>
      <c r="G5" s="263"/>
      <c r="H5" s="512"/>
    </row>
    <row r="6" ht="15.75" customHeight="1">
      <c r="B6" s="263"/>
      <c r="C6" s="262"/>
      <c r="D6" s="263"/>
      <c r="E6" s="263"/>
      <c r="F6" s="263"/>
      <c r="G6" s="263"/>
      <c r="H6" s="512"/>
    </row>
    <row r="7" ht="150.75" customHeight="1">
      <c r="B7" s="536" t="s">
        <v>638</v>
      </c>
      <c r="C7" s="216"/>
      <c r="D7" s="216"/>
      <c r="E7" s="216"/>
      <c r="F7" s="216"/>
      <c r="G7" s="217"/>
      <c r="H7" s="512"/>
    </row>
    <row r="8" ht="22.5" customHeight="1">
      <c r="B8" s="232"/>
      <c r="C8" s="262"/>
      <c r="D8" s="263"/>
      <c r="E8" s="234"/>
      <c r="F8" s="234"/>
      <c r="G8" s="263"/>
      <c r="H8" s="233"/>
    </row>
    <row r="9" ht="24.0" customHeight="1">
      <c r="B9" s="537" t="s">
        <v>201</v>
      </c>
      <c r="C9" s="538"/>
      <c r="D9" s="539"/>
      <c r="E9" s="540"/>
      <c r="F9" s="540"/>
      <c r="G9" s="540"/>
      <c r="H9" s="540"/>
      <c r="I9" s="540"/>
      <c r="J9" s="539"/>
      <c r="K9" s="539"/>
      <c r="L9" s="541"/>
      <c r="M9" s="541"/>
      <c r="N9" s="542"/>
    </row>
    <row r="10" ht="15.75" customHeight="1">
      <c r="B10" s="543"/>
      <c r="C10" s="544"/>
      <c r="D10" s="544"/>
      <c r="E10" s="544"/>
      <c r="F10" s="544"/>
      <c r="G10" s="544"/>
      <c r="H10" s="544"/>
      <c r="I10" s="544"/>
      <c r="J10" s="544"/>
      <c r="K10" s="544"/>
      <c r="L10" s="233"/>
      <c r="M10" s="233"/>
      <c r="N10" s="545"/>
    </row>
    <row r="11" ht="15.75" customHeight="1">
      <c r="B11" s="546"/>
      <c r="C11" s="547" t="s">
        <v>155</v>
      </c>
      <c r="D11" s="547" t="s">
        <v>156</v>
      </c>
      <c r="E11" s="547" t="s">
        <v>157</v>
      </c>
      <c r="F11" s="547" t="s">
        <v>205</v>
      </c>
      <c r="G11" s="547" t="s">
        <v>208</v>
      </c>
      <c r="H11" s="547" t="s">
        <v>207</v>
      </c>
      <c r="I11" s="547" t="s">
        <v>208</v>
      </c>
      <c r="J11" s="548" t="s">
        <v>270</v>
      </c>
      <c r="K11" s="547" t="s">
        <v>47</v>
      </c>
      <c r="L11" s="225" t="s">
        <v>212</v>
      </c>
      <c r="M11" s="225" t="s">
        <v>214</v>
      </c>
      <c r="N11" s="549"/>
    </row>
    <row r="12" ht="15.75" customHeight="1">
      <c r="B12" s="543"/>
      <c r="C12" s="263"/>
      <c r="D12" s="263"/>
      <c r="E12" s="263"/>
      <c r="F12" s="263"/>
      <c r="G12" s="263"/>
      <c r="H12" s="263"/>
      <c r="I12" s="263"/>
      <c r="J12" s="544"/>
      <c r="K12" s="544"/>
      <c r="L12" s="233"/>
      <c r="M12" s="233"/>
      <c r="N12" s="545"/>
    </row>
    <row r="13" ht="15.75" customHeight="1">
      <c r="B13" s="543"/>
      <c r="C13" s="550" t="s">
        <v>639</v>
      </c>
      <c r="D13" s="550" t="s">
        <v>640</v>
      </c>
      <c r="E13" s="551">
        <v>8.0</v>
      </c>
      <c r="F13" s="551">
        <v>0.25</v>
      </c>
      <c r="G13" s="551" t="s">
        <v>221</v>
      </c>
      <c r="H13" s="551">
        <v>7.0</v>
      </c>
      <c r="I13" s="551" t="s">
        <v>222</v>
      </c>
      <c r="J13" s="552" t="s">
        <v>641</v>
      </c>
      <c r="K13" s="553" t="s">
        <v>642</v>
      </c>
      <c r="L13" s="253" t="s">
        <v>226</v>
      </c>
      <c r="M13" s="253" t="s">
        <v>643</v>
      </c>
      <c r="N13" s="554"/>
    </row>
    <row r="14" ht="15.75" customHeight="1">
      <c r="B14" s="543"/>
      <c r="C14" s="544"/>
      <c r="D14" s="263"/>
      <c r="E14" s="555"/>
      <c r="F14" s="555"/>
      <c r="G14" s="555"/>
      <c r="H14" s="555"/>
      <c r="I14" s="555"/>
      <c r="K14" s="177"/>
      <c r="L14" s="224"/>
      <c r="M14" s="224"/>
      <c r="N14" s="556"/>
    </row>
    <row r="15" ht="15.75" customHeight="1">
      <c r="B15" s="543"/>
      <c r="C15" s="553" t="s">
        <v>229</v>
      </c>
      <c r="D15" s="550" t="s">
        <v>644</v>
      </c>
      <c r="E15" s="551">
        <v>128.0</v>
      </c>
      <c r="F15" s="551">
        <v>0.29</v>
      </c>
      <c r="G15" s="551" t="s">
        <v>221</v>
      </c>
      <c r="H15" s="551">
        <v>6.75</v>
      </c>
      <c r="I15" s="551" t="s">
        <v>222</v>
      </c>
      <c r="J15" s="552" t="s">
        <v>641</v>
      </c>
      <c r="K15" s="550"/>
      <c r="L15" s="245" t="s">
        <v>226</v>
      </c>
      <c r="M15" s="137" t="s">
        <v>645</v>
      </c>
      <c r="N15" s="556"/>
    </row>
    <row r="16" ht="15.75" customHeight="1">
      <c r="B16" s="543"/>
      <c r="C16" s="544"/>
      <c r="D16" s="263"/>
      <c r="E16" s="555"/>
      <c r="F16" s="555"/>
      <c r="G16" s="555"/>
      <c r="H16" s="555"/>
      <c r="I16" s="555"/>
      <c r="J16" s="544"/>
      <c r="K16" s="550"/>
      <c r="L16" s="114"/>
      <c r="M16" s="114"/>
      <c r="N16" s="557"/>
    </row>
    <row r="17" ht="15.75" customHeight="1">
      <c r="B17" s="543"/>
      <c r="C17" s="558" t="s">
        <v>646</v>
      </c>
      <c r="D17" s="544" t="s">
        <v>647</v>
      </c>
      <c r="E17" s="555">
        <v>52.0</v>
      </c>
      <c r="F17" s="555">
        <v>0.125</v>
      </c>
      <c r="G17" s="555" t="s">
        <v>221</v>
      </c>
      <c r="H17" s="555">
        <v>7.0</v>
      </c>
      <c r="I17" s="555" t="s">
        <v>222</v>
      </c>
      <c r="J17" s="552" t="s">
        <v>641</v>
      </c>
      <c r="K17" s="550"/>
      <c r="L17" s="559" t="s">
        <v>226</v>
      </c>
      <c r="M17" s="114"/>
      <c r="N17" s="557"/>
    </row>
    <row r="18" ht="15.75" customHeight="1">
      <c r="B18" s="543"/>
      <c r="C18" s="544"/>
      <c r="D18" s="263"/>
      <c r="E18" s="555"/>
      <c r="F18" s="555"/>
      <c r="G18" s="555"/>
      <c r="H18" s="555"/>
      <c r="I18" s="555"/>
      <c r="J18" s="544"/>
      <c r="K18" s="550"/>
      <c r="L18" s="114"/>
      <c r="M18" s="114"/>
      <c r="N18" s="557"/>
    </row>
    <row r="19" ht="15.75" customHeight="1">
      <c r="B19" s="543"/>
      <c r="C19" s="544" t="s">
        <v>648</v>
      </c>
      <c r="D19" s="544" t="s">
        <v>648</v>
      </c>
      <c r="E19" s="555">
        <v>2.0</v>
      </c>
      <c r="F19" s="555">
        <v>0.125</v>
      </c>
      <c r="G19" s="555" t="s">
        <v>221</v>
      </c>
      <c r="H19" s="555">
        <v>7.0</v>
      </c>
      <c r="I19" s="555" t="s">
        <v>222</v>
      </c>
      <c r="J19" s="552" t="s">
        <v>641</v>
      </c>
      <c r="K19" s="550"/>
      <c r="L19" s="559" t="s">
        <v>226</v>
      </c>
      <c r="M19" s="114"/>
      <c r="N19" s="557"/>
    </row>
    <row r="20" ht="15.75" customHeight="1">
      <c r="B20" s="543"/>
      <c r="C20" s="544"/>
      <c r="D20" s="544"/>
      <c r="E20" s="555"/>
      <c r="F20" s="555"/>
      <c r="G20" s="555"/>
      <c r="H20" s="555"/>
      <c r="I20" s="555"/>
      <c r="J20" s="552"/>
      <c r="K20" s="550"/>
      <c r="L20" s="114"/>
      <c r="M20" s="114"/>
      <c r="N20" s="557"/>
    </row>
    <row r="21" ht="15.75" customHeight="1">
      <c r="B21" s="543"/>
      <c r="C21" s="381" t="s">
        <v>239</v>
      </c>
      <c r="D21" s="390" t="s">
        <v>649</v>
      </c>
      <c r="E21" s="560">
        <v>1.0</v>
      </c>
      <c r="F21" s="243">
        <v>0.125</v>
      </c>
      <c r="G21" s="243" t="s">
        <v>221</v>
      </c>
      <c r="H21" s="555"/>
      <c r="I21" s="560" t="s">
        <v>222</v>
      </c>
      <c r="J21" s="552" t="s">
        <v>641</v>
      </c>
      <c r="K21" s="561" t="s">
        <v>650</v>
      </c>
      <c r="L21" s="244" t="s">
        <v>226</v>
      </c>
      <c r="M21" s="114"/>
      <c r="N21" s="557"/>
    </row>
    <row r="22" ht="15.75" customHeight="1">
      <c r="B22" s="562"/>
      <c r="C22" s="563"/>
      <c r="D22" s="563"/>
      <c r="E22" s="563"/>
      <c r="F22" s="563"/>
      <c r="G22" s="563"/>
      <c r="H22" s="563"/>
      <c r="I22" s="563"/>
      <c r="J22" s="564"/>
      <c r="K22" s="564"/>
      <c r="L22" s="565"/>
      <c r="M22" s="565"/>
      <c r="N22" s="566"/>
    </row>
    <row r="23" ht="15.75" customHeight="1">
      <c r="B23" s="544"/>
      <c r="C23" s="544"/>
      <c r="D23" s="544"/>
      <c r="E23" s="544"/>
      <c r="F23" s="544"/>
      <c r="G23" s="544"/>
      <c r="H23" s="512"/>
    </row>
    <row r="24" ht="15.75" customHeight="1">
      <c r="B24" s="263"/>
      <c r="C24" s="262"/>
      <c r="D24" s="263"/>
      <c r="E24" s="263"/>
      <c r="F24" s="263"/>
      <c r="G24" s="263"/>
      <c r="H24" s="512"/>
    </row>
    <row r="25" ht="15.75" customHeight="1">
      <c r="B25" s="264" t="s">
        <v>242</v>
      </c>
      <c r="C25" s="206"/>
      <c r="D25" s="206"/>
      <c r="E25" s="206"/>
      <c r="F25" s="206"/>
      <c r="G25" s="206"/>
      <c r="H25" s="567"/>
    </row>
    <row r="26" ht="15.75" customHeight="1">
      <c r="B26" s="265"/>
      <c r="C26" s="262"/>
      <c r="D26" s="263"/>
      <c r="E26" s="263"/>
      <c r="F26" s="263"/>
      <c r="G26" s="263"/>
      <c r="H26" s="568"/>
    </row>
    <row r="27" ht="15.75" customHeight="1">
      <c r="B27" s="265"/>
      <c r="C27" s="266" t="s">
        <v>243</v>
      </c>
      <c r="D27" s="267" t="s">
        <v>244</v>
      </c>
      <c r="E27" s="267" t="s">
        <v>206</v>
      </c>
      <c r="F27" s="267" t="s">
        <v>245</v>
      </c>
      <c r="G27" s="297" t="s">
        <v>246</v>
      </c>
      <c r="H27" s="568"/>
    </row>
    <row r="28" ht="15.75" customHeight="1">
      <c r="B28" s="265"/>
      <c r="C28" s="420" t="s">
        <v>487</v>
      </c>
      <c r="D28" s="270">
        <f>E13*3.14*(F13/2)*(F13/2)/2</f>
        <v>0.19625</v>
      </c>
      <c r="E28" s="270" t="s">
        <v>248</v>
      </c>
      <c r="F28" s="270" t="s">
        <v>249</v>
      </c>
      <c r="G28" s="298" t="s">
        <v>651</v>
      </c>
      <c r="H28" s="568"/>
    </row>
    <row r="29" ht="15.75" customHeight="1">
      <c r="B29" s="265"/>
      <c r="C29" s="420" t="s">
        <v>489</v>
      </c>
      <c r="D29" s="270">
        <f>D28</f>
        <v>0.19625</v>
      </c>
      <c r="E29" s="270" t="s">
        <v>248</v>
      </c>
      <c r="F29" s="270" t="s">
        <v>249</v>
      </c>
      <c r="G29" s="298" t="s">
        <v>651</v>
      </c>
      <c r="H29" s="568"/>
    </row>
    <row r="30" ht="15.75" customHeight="1">
      <c r="B30" s="265"/>
      <c r="C30" s="425" t="s">
        <v>494</v>
      </c>
      <c r="D30" s="569">
        <f t="shared" ref="D30:D31" si="1">D28</f>
        <v>0.19625</v>
      </c>
      <c r="E30" s="569" t="s">
        <v>248</v>
      </c>
      <c r="F30" s="569" t="s">
        <v>249</v>
      </c>
      <c r="G30" s="570" t="s">
        <v>651</v>
      </c>
      <c r="H30" s="568"/>
    </row>
    <row r="31" ht="15.75" customHeight="1">
      <c r="B31" s="265"/>
      <c r="C31" s="427" t="s">
        <v>495</v>
      </c>
      <c r="D31" s="571">
        <f t="shared" si="1"/>
        <v>0.19625</v>
      </c>
      <c r="E31" s="571" t="s">
        <v>248</v>
      </c>
      <c r="F31" s="571" t="s">
        <v>249</v>
      </c>
      <c r="G31" s="572" t="s">
        <v>651</v>
      </c>
      <c r="H31" s="568"/>
    </row>
    <row r="32" ht="15.75" customHeight="1">
      <c r="B32" s="265"/>
      <c r="C32" s="573" t="s">
        <v>575</v>
      </c>
      <c r="D32" s="282">
        <f>(E15/2)*3.14*(F15/2)*(F15/2)+(E17/2)*3.14*(F17/2)*(F17/2)+(E19/2)*3.14*(F19/2)*(F19/2)</f>
        <v>4.556355875</v>
      </c>
      <c r="E32" s="282" t="s">
        <v>248</v>
      </c>
      <c r="F32" s="282" t="s">
        <v>249</v>
      </c>
      <c r="G32" s="302" t="s">
        <v>250</v>
      </c>
      <c r="H32" s="568"/>
    </row>
    <row r="33" ht="15.75" customHeight="1">
      <c r="B33" s="265"/>
      <c r="C33" s="573" t="s">
        <v>576</v>
      </c>
      <c r="D33" s="282">
        <f>D32</f>
        <v>4.556355875</v>
      </c>
      <c r="E33" s="282" t="s">
        <v>248</v>
      </c>
      <c r="F33" s="282" t="s">
        <v>249</v>
      </c>
      <c r="G33" s="302" t="s">
        <v>250</v>
      </c>
      <c r="H33" s="568"/>
    </row>
    <row r="34" ht="15.75" customHeight="1">
      <c r="B34" s="265"/>
      <c r="C34" s="574" t="s">
        <v>652</v>
      </c>
      <c r="D34" s="282">
        <f>(E17/2)*3.14*(F17/2)*(F17/2)</f>
        <v>0.31890625</v>
      </c>
      <c r="E34" s="282" t="s">
        <v>248</v>
      </c>
      <c r="F34" s="282" t="s">
        <v>249</v>
      </c>
      <c r="G34" s="302" t="s">
        <v>250</v>
      </c>
      <c r="H34" s="296"/>
      <c r="J34" s="575"/>
      <c r="K34" s="575"/>
    </row>
    <row r="35" ht="15.75" customHeight="1">
      <c r="B35" s="265"/>
      <c r="C35" s="574" t="s">
        <v>653</v>
      </c>
      <c r="D35" s="282">
        <f>D34</f>
        <v>0.31890625</v>
      </c>
      <c r="E35" s="282" t="s">
        <v>248</v>
      </c>
      <c r="F35" s="282" t="s">
        <v>249</v>
      </c>
      <c r="G35" s="302" t="s">
        <v>250</v>
      </c>
      <c r="H35" s="296"/>
    </row>
    <row r="36" ht="15.75" customHeight="1">
      <c r="B36" s="265"/>
      <c r="C36" s="574" t="s">
        <v>654</v>
      </c>
      <c r="D36" s="282">
        <f>(E19/2)*3.14*(F19/2)*(F19/2)</f>
        <v>0.012265625</v>
      </c>
      <c r="E36" s="282" t="s">
        <v>248</v>
      </c>
      <c r="F36" s="282" t="s">
        <v>249</v>
      </c>
      <c r="G36" s="302" t="s">
        <v>250</v>
      </c>
      <c r="H36" s="296"/>
    </row>
    <row r="37" ht="15.75" customHeight="1">
      <c r="B37" s="265"/>
      <c r="C37" s="574" t="s">
        <v>655</v>
      </c>
      <c r="D37" s="282">
        <f>D36</f>
        <v>0.012265625</v>
      </c>
      <c r="E37" s="282" t="s">
        <v>248</v>
      </c>
      <c r="F37" s="282" t="s">
        <v>249</v>
      </c>
      <c r="G37" s="302" t="s">
        <v>250</v>
      </c>
      <c r="H37" s="296"/>
    </row>
    <row r="38" ht="15.75" customHeight="1">
      <c r="B38" s="265"/>
      <c r="C38" s="576" t="s">
        <v>583</v>
      </c>
      <c r="D38" s="577">
        <f t="shared" ref="D38:D39" si="2">D32+D34+D36</f>
        <v>4.88752775</v>
      </c>
      <c r="E38" s="577" t="s">
        <v>248</v>
      </c>
      <c r="F38" s="577" t="s">
        <v>249</v>
      </c>
      <c r="G38" s="578" t="s">
        <v>250</v>
      </c>
      <c r="H38" s="296"/>
    </row>
    <row r="39" ht="15.75" customHeight="1">
      <c r="B39" s="265"/>
      <c r="C39" s="579" t="s">
        <v>584</v>
      </c>
      <c r="D39" s="580">
        <f t="shared" si="2"/>
        <v>4.88752775</v>
      </c>
      <c r="E39" s="580" t="s">
        <v>248</v>
      </c>
      <c r="F39" s="580" t="s">
        <v>249</v>
      </c>
      <c r="G39" s="581" t="s">
        <v>250</v>
      </c>
      <c r="H39" s="296"/>
    </row>
    <row r="40" ht="15.75" customHeight="1">
      <c r="B40" s="265"/>
      <c r="C40" s="582" t="s">
        <v>656</v>
      </c>
      <c r="D40" s="583">
        <f>E21*Pi()*POWER(F21/2,2)</f>
        <v>0.0122718463</v>
      </c>
      <c r="E40" s="584" t="s">
        <v>248</v>
      </c>
      <c r="F40" s="585" t="s">
        <v>250</v>
      </c>
      <c r="G40" s="586" t="s">
        <v>261</v>
      </c>
      <c r="H40" s="296"/>
    </row>
    <row r="41" ht="15.75" customHeight="1">
      <c r="B41" s="265"/>
      <c r="C41" s="262"/>
      <c r="D41" s="263"/>
      <c r="E41" s="263"/>
      <c r="F41" s="263"/>
      <c r="G41" s="263"/>
      <c r="H41" s="296"/>
    </row>
    <row r="42" ht="15.75" customHeight="1">
      <c r="B42" s="288"/>
      <c r="C42" s="289"/>
      <c r="D42" s="290"/>
      <c r="E42" s="290"/>
      <c r="F42" s="290"/>
      <c r="G42" s="290"/>
      <c r="H42" s="305"/>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
    <mergeCell ref="B7:G7"/>
  </mergeCell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4.33"/>
  </cols>
  <sheetData>
    <row r="1">
      <c r="B1" s="164" t="s">
        <v>657</v>
      </c>
    </row>
    <row r="2">
      <c r="A2" s="164" t="s">
        <v>658</v>
      </c>
      <c r="B2" s="118" t="s">
        <v>659</v>
      </c>
    </row>
    <row r="3">
      <c r="A3" s="118">
        <v>1.0</v>
      </c>
      <c r="B3" s="118" t="s">
        <v>660</v>
      </c>
    </row>
    <row r="4">
      <c r="A4" s="118">
        <v>2.0</v>
      </c>
      <c r="B4" s="118" t="s">
        <v>661</v>
      </c>
    </row>
    <row r="5">
      <c r="A5" s="118">
        <v>3.0</v>
      </c>
    </row>
    <row r="6">
      <c r="A6" s="118">
        <v>4.0</v>
      </c>
    </row>
    <row r="7">
      <c r="A7" s="118">
        <v>5.0</v>
      </c>
    </row>
    <row r="8">
      <c r="A8" s="118">
        <v>6.0</v>
      </c>
    </row>
    <row r="9">
      <c r="A9" s="118">
        <v>7.0</v>
      </c>
    </row>
    <row r="10">
      <c r="A10" s="118">
        <v>8.0</v>
      </c>
    </row>
    <row r="11">
      <c r="A11" s="118">
        <v>9.0</v>
      </c>
    </row>
    <row r="12">
      <c r="A12" s="118">
        <v>10.0</v>
      </c>
    </row>
    <row r="13">
      <c r="A13" s="118">
        <v>11.0</v>
      </c>
    </row>
    <row r="14">
      <c r="A14" s="118">
        <v>12.0</v>
      </c>
    </row>
    <row r="15">
      <c r="A15" s="118">
        <v>13.0</v>
      </c>
    </row>
    <row r="16">
      <c r="A16" s="118">
        <v>14.0</v>
      </c>
    </row>
    <row r="17">
      <c r="A17" s="118">
        <v>15.0</v>
      </c>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row r="1">
      <c r="A1" s="118"/>
      <c r="B1" s="164" t="s">
        <v>662</v>
      </c>
      <c r="C1" s="164" t="s">
        <v>663</v>
      </c>
      <c r="D1" s="164" t="s">
        <v>158</v>
      </c>
      <c r="E1" s="164" t="s">
        <v>37</v>
      </c>
      <c r="F1" s="164" t="s">
        <v>38</v>
      </c>
      <c r="G1" s="164" t="s">
        <v>39</v>
      </c>
      <c r="H1" s="164" t="s">
        <v>40</v>
      </c>
    </row>
    <row r="2">
      <c r="A2" s="164">
        <v>1.0</v>
      </c>
    </row>
    <row r="3">
      <c r="A3" s="164">
        <v>2.0</v>
      </c>
    </row>
    <row r="4">
      <c r="A4" s="164">
        <v>3.0</v>
      </c>
    </row>
    <row r="5">
      <c r="A5" s="164">
        <v>4.0</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1.22" defaultRowHeight="15.0"/>
  <cols>
    <col customWidth="1" min="1" max="1" width="4.78"/>
    <col customWidth="1" min="2" max="2" width="10.56"/>
    <col customWidth="1" min="3" max="3" width="16.33"/>
    <col customWidth="1" min="4" max="4" width="2.89"/>
    <col customWidth="1" min="5" max="5" width="10.56"/>
    <col customWidth="1" min="6" max="6" width="14.11"/>
    <col customWidth="1" min="7" max="7" width="2.67"/>
    <col customWidth="1" min="8" max="8" width="10.56"/>
    <col customWidth="1" min="9" max="9" width="15.56"/>
    <col customWidth="1" min="10" max="10" width="4.44"/>
    <col customWidth="1" min="11" max="11" width="15.0"/>
    <col customWidth="1" min="12" max="12" width="13.56"/>
    <col customWidth="1" min="13" max="13" width="18.89"/>
    <col customWidth="1" min="14" max="14" width="18.44"/>
    <col customWidth="1" min="15" max="15" width="21.33"/>
    <col customWidth="1" min="16" max="16" width="10.56"/>
    <col customWidth="1" min="17" max="17" width="14.67"/>
    <col customWidth="1" min="18" max="18" width="22.0"/>
    <col customWidth="1" min="19" max="27" width="10.56"/>
  </cols>
  <sheetData>
    <row r="1" ht="15.75" customHeight="1"/>
    <row r="2" ht="15.75" customHeight="1">
      <c r="B2" s="108" t="s">
        <v>54</v>
      </c>
    </row>
    <row r="3" ht="15.75" customHeight="1">
      <c r="B3" s="108"/>
    </row>
    <row r="4" ht="15.75" customHeight="1">
      <c r="B4" s="109" t="s">
        <v>55</v>
      </c>
    </row>
    <row r="5" ht="15.75" customHeight="1"/>
    <row r="6" ht="15.75" customHeight="1"/>
    <row r="7" ht="15.75" customHeight="1">
      <c r="K7" s="110"/>
      <c r="L7" s="111"/>
      <c r="M7" s="112"/>
      <c r="N7" s="112"/>
    </row>
    <row r="8" ht="15.75" customHeight="1">
      <c r="K8" s="113"/>
      <c r="L8" s="111"/>
      <c r="M8" s="112"/>
      <c r="N8" s="112"/>
    </row>
    <row r="9" ht="15.75" customHeight="1">
      <c r="K9" s="113"/>
      <c r="L9" s="111"/>
      <c r="M9" s="112"/>
      <c r="N9" s="112"/>
    </row>
    <row r="10" ht="15.75" customHeight="1">
      <c r="K10" s="110"/>
      <c r="L10" s="111"/>
      <c r="N10" s="112"/>
    </row>
    <row r="11" ht="15.75" customHeight="1">
      <c r="K11" s="113"/>
      <c r="L11" s="111"/>
      <c r="N11" s="112"/>
    </row>
    <row r="12" ht="15.75" customHeight="1">
      <c r="K12" s="113"/>
      <c r="L12" s="111"/>
      <c r="N12" s="112"/>
    </row>
    <row r="13" ht="15.75" customHeight="1">
      <c r="K13" s="113"/>
      <c r="L13" s="111"/>
      <c r="N13" s="112"/>
    </row>
    <row r="14" ht="15.75" customHeight="1">
      <c r="K14" s="113"/>
      <c r="L14" s="111"/>
      <c r="M14" s="112"/>
      <c r="N14" s="112"/>
    </row>
    <row r="15" ht="15.75" customHeight="1">
      <c r="K15" s="113"/>
      <c r="L15" s="111"/>
      <c r="N15" s="112"/>
    </row>
    <row r="16" ht="15.75" customHeight="1">
      <c r="K16" s="113"/>
      <c r="L16" s="111"/>
      <c r="N16" s="112"/>
    </row>
    <row r="17" ht="15.75" customHeight="1">
      <c r="K17" s="113"/>
      <c r="L17" s="111"/>
      <c r="N17" s="112"/>
    </row>
    <row r="18" ht="15.75" customHeight="1">
      <c r="K18" s="113"/>
      <c r="L18" s="111"/>
      <c r="N18" s="112"/>
    </row>
    <row r="19" ht="15.75" customHeight="1">
      <c r="K19" s="113"/>
      <c r="L19" s="111"/>
      <c r="N19" s="112"/>
    </row>
    <row r="20" ht="15.75" customHeight="1">
      <c r="K20" s="113"/>
      <c r="L20" s="111"/>
      <c r="N20" s="112"/>
    </row>
    <row r="21" ht="15.75" customHeight="1">
      <c r="K21" s="113"/>
      <c r="L21" s="111"/>
      <c r="N21" s="112"/>
    </row>
    <row r="22" ht="15.75" customHeight="1">
      <c r="K22" s="113"/>
      <c r="L22" s="111"/>
      <c r="N22" s="112"/>
    </row>
    <row r="23" ht="15.75" customHeight="1">
      <c r="K23" s="113"/>
      <c r="L23" s="111"/>
      <c r="N23" s="112"/>
    </row>
    <row r="24" ht="15.75" customHeight="1">
      <c r="K24" s="110"/>
      <c r="L24" s="111"/>
      <c r="M24" s="112"/>
      <c r="N24" s="112"/>
    </row>
    <row r="25" ht="15.75" customHeight="1">
      <c r="K25" s="113"/>
      <c r="L25" s="111"/>
      <c r="M25" s="112"/>
      <c r="N25" s="112"/>
    </row>
    <row r="26" ht="15.75" customHeight="1">
      <c r="K26" s="113"/>
      <c r="L26" s="111"/>
      <c r="M26" s="112"/>
      <c r="N26" s="112"/>
    </row>
    <row r="27" ht="15.75" customHeight="1">
      <c r="K27" s="113"/>
      <c r="L27" s="111"/>
      <c r="M27" s="112"/>
      <c r="N27" s="112"/>
    </row>
    <row r="28" ht="15.75" customHeight="1">
      <c r="K28" s="113"/>
      <c r="L28" s="111"/>
      <c r="M28" s="112"/>
      <c r="N28" s="112"/>
    </row>
    <row r="29" ht="15.75" customHeight="1">
      <c r="K29" s="113"/>
      <c r="L29" s="111"/>
      <c r="N29" s="112"/>
    </row>
    <row r="30" ht="15.75" customHeight="1">
      <c r="K30" s="113"/>
      <c r="L30" s="111"/>
      <c r="N30" s="112"/>
    </row>
    <row r="31" ht="15.75" customHeight="1">
      <c r="K31" s="110"/>
      <c r="L31" s="111"/>
      <c r="N31" s="112"/>
    </row>
    <row r="32" ht="15.75" customHeight="1">
      <c r="K32" s="113"/>
      <c r="L32" s="111"/>
      <c r="N32" s="112"/>
    </row>
    <row r="33" ht="15.75" customHeight="1">
      <c r="K33" s="113"/>
      <c r="L33" s="111"/>
      <c r="N33" s="112"/>
    </row>
    <row r="34" ht="15.75" customHeight="1"/>
    <row r="35" ht="15.75" customHeight="1">
      <c r="L35" s="112"/>
    </row>
    <row r="36" ht="15.75" customHeight="1">
      <c r="M36" s="114"/>
    </row>
    <row r="37" ht="15.75" customHeight="1">
      <c r="M37" s="114"/>
    </row>
    <row r="38" ht="15.75" customHeight="1">
      <c r="M38" s="114"/>
    </row>
    <row r="39" ht="15.75" customHeight="1">
      <c r="M39" s="114"/>
    </row>
    <row r="40" ht="15.75" customHeight="1">
      <c r="M40" s="114"/>
    </row>
    <row r="41" ht="15.75" customHeight="1">
      <c r="M41" s="114"/>
    </row>
    <row r="42" ht="15.75" customHeight="1">
      <c r="M42" s="114"/>
    </row>
    <row r="43" ht="15.75" customHeight="1">
      <c r="M43" s="114"/>
    </row>
    <row r="44" ht="15.75" customHeight="1">
      <c r="B44" s="115" t="s">
        <v>56</v>
      </c>
      <c r="C44" s="115" t="s">
        <v>57</v>
      </c>
      <c r="E44" s="115" t="s">
        <v>56</v>
      </c>
      <c r="F44" s="115" t="s">
        <v>57</v>
      </c>
      <c r="H44" s="115" t="s">
        <v>56</v>
      </c>
      <c r="I44" s="115" t="s">
        <v>57</v>
      </c>
      <c r="K44" s="115" t="s">
        <v>58</v>
      </c>
      <c r="M44" s="114"/>
    </row>
    <row r="45" ht="15.75" customHeight="1">
      <c r="B45" s="116" t="s">
        <v>59</v>
      </c>
      <c r="C45" s="117" t="s">
        <v>60</v>
      </c>
      <c r="D45" s="118">
        <v>1.0</v>
      </c>
      <c r="E45" s="116" t="s">
        <v>61</v>
      </c>
      <c r="F45" s="117" t="s">
        <v>60</v>
      </c>
      <c r="G45" s="118">
        <v>7.0</v>
      </c>
      <c r="H45" s="116" t="s">
        <v>62</v>
      </c>
      <c r="I45" s="117" t="s">
        <v>60</v>
      </c>
      <c r="J45" s="118">
        <v>13.0</v>
      </c>
      <c r="K45" s="119">
        <f>COUNTA(C45:C50,F45:F50,I45:I50,F53:F61,I53:I61)</f>
        <v>28</v>
      </c>
      <c r="M45" s="114"/>
    </row>
    <row r="46" ht="15.75" customHeight="1">
      <c r="B46" s="116" t="s">
        <v>63</v>
      </c>
      <c r="C46" s="120" t="s">
        <v>64</v>
      </c>
      <c r="D46" s="118">
        <v>2.0</v>
      </c>
      <c r="E46" s="116" t="s">
        <v>65</v>
      </c>
      <c r="F46" s="121" t="s">
        <v>66</v>
      </c>
      <c r="G46" s="118">
        <v>8.0</v>
      </c>
      <c r="H46" s="116" t="s">
        <v>67</v>
      </c>
      <c r="I46" s="122" t="s">
        <v>68</v>
      </c>
      <c r="J46" s="118">
        <v>14.0</v>
      </c>
    </row>
    <row r="47" ht="15.75" customHeight="1">
      <c r="B47" s="116" t="s">
        <v>69</v>
      </c>
      <c r="C47" s="117" t="s">
        <v>60</v>
      </c>
      <c r="D47" s="118">
        <v>3.0</v>
      </c>
      <c r="E47" s="116" t="s">
        <v>70</v>
      </c>
      <c r="F47" s="117" t="s">
        <v>60</v>
      </c>
      <c r="G47" s="118">
        <v>9.0</v>
      </c>
      <c r="H47" s="116" t="s">
        <v>71</v>
      </c>
      <c r="I47" s="121" t="s">
        <v>72</v>
      </c>
      <c r="J47" s="118">
        <v>15.0</v>
      </c>
    </row>
    <row r="48" ht="15.75" customHeight="1">
      <c r="B48" s="116" t="s">
        <v>73</v>
      </c>
      <c r="C48" s="123" t="s">
        <v>39</v>
      </c>
      <c r="D48" s="118">
        <v>4.0</v>
      </c>
      <c r="E48" s="116" t="s">
        <v>74</v>
      </c>
      <c r="F48" s="124" t="s">
        <v>38</v>
      </c>
      <c r="G48" s="118">
        <v>10.0</v>
      </c>
      <c r="H48" s="116" t="s">
        <v>75</v>
      </c>
      <c r="I48" s="121" t="s">
        <v>72</v>
      </c>
      <c r="J48" s="118">
        <v>16.0</v>
      </c>
    </row>
    <row r="49" ht="15.75" customHeight="1">
      <c r="B49" s="116" t="s">
        <v>76</v>
      </c>
      <c r="C49" s="125" t="s">
        <v>77</v>
      </c>
      <c r="D49" s="118">
        <v>5.0</v>
      </c>
      <c r="E49" s="116" t="s">
        <v>78</v>
      </c>
      <c r="F49" s="125" t="s">
        <v>77</v>
      </c>
      <c r="G49" s="118">
        <v>11.0</v>
      </c>
      <c r="H49" s="116" t="s">
        <v>79</v>
      </c>
      <c r="I49" s="122" t="s">
        <v>68</v>
      </c>
      <c r="J49" s="118">
        <v>17.0</v>
      </c>
    </row>
    <row r="50" ht="15.75" customHeight="1">
      <c r="B50" s="116" t="s">
        <v>80</v>
      </c>
      <c r="C50" s="123" t="s">
        <v>39</v>
      </c>
      <c r="D50" s="118">
        <v>6.0</v>
      </c>
      <c r="E50" s="116" t="s">
        <v>81</v>
      </c>
      <c r="F50" s="124" t="s">
        <v>38</v>
      </c>
      <c r="G50" s="118">
        <v>12.0</v>
      </c>
      <c r="H50" s="116" t="s">
        <v>82</v>
      </c>
      <c r="I50" s="117" t="s">
        <v>60</v>
      </c>
      <c r="J50" s="118">
        <v>18.0</v>
      </c>
    </row>
    <row r="51" ht="15.75" customHeight="1"/>
    <row r="52" ht="15.75" customHeight="1">
      <c r="E52" s="115" t="s">
        <v>56</v>
      </c>
      <c r="F52" s="115" t="s">
        <v>57</v>
      </c>
      <c r="H52" s="115" t="s">
        <v>56</v>
      </c>
      <c r="I52" s="115" t="s">
        <v>57</v>
      </c>
    </row>
    <row r="53" ht="15.75" customHeight="1">
      <c r="E53" s="116" t="s">
        <v>83</v>
      </c>
      <c r="F53" s="126"/>
      <c r="G53" s="118">
        <v>19.0</v>
      </c>
      <c r="H53" s="116" t="s">
        <v>84</v>
      </c>
      <c r="I53" s="117" t="s">
        <v>60</v>
      </c>
      <c r="J53" s="118">
        <v>28.0</v>
      </c>
    </row>
    <row r="54" ht="15.75" customHeight="1">
      <c r="E54" s="116" t="s">
        <v>85</v>
      </c>
      <c r="F54" s="126"/>
      <c r="G54" s="118">
        <v>20.0</v>
      </c>
      <c r="H54" s="116" t="s">
        <v>86</v>
      </c>
      <c r="I54" s="122" t="s">
        <v>68</v>
      </c>
      <c r="J54" s="118">
        <v>29.0</v>
      </c>
    </row>
    <row r="55" ht="15.75" customHeight="1">
      <c r="E55" s="116" t="s">
        <v>87</v>
      </c>
      <c r="F55" s="121" t="s">
        <v>88</v>
      </c>
      <c r="G55" s="118">
        <v>21.0</v>
      </c>
      <c r="H55" s="116" t="s">
        <v>89</v>
      </c>
      <c r="I55" s="121" t="s">
        <v>72</v>
      </c>
      <c r="J55" s="118">
        <v>30.0</v>
      </c>
    </row>
    <row r="56" ht="15.75" customHeight="1">
      <c r="E56" s="116" t="s">
        <v>90</v>
      </c>
      <c r="F56" s="125" t="s">
        <v>91</v>
      </c>
      <c r="G56" s="118">
        <v>22.0</v>
      </c>
      <c r="H56" s="116" t="s">
        <v>92</v>
      </c>
      <c r="I56" s="121" t="s">
        <v>72</v>
      </c>
      <c r="J56" s="118">
        <v>31.0</v>
      </c>
    </row>
    <row r="57" ht="15.75" customHeight="1">
      <c r="E57" s="116" t="s">
        <v>93</v>
      </c>
      <c r="F57" s="127" t="s">
        <v>94</v>
      </c>
      <c r="G57" s="118">
        <v>23.0</v>
      </c>
      <c r="H57" s="116" t="s">
        <v>95</v>
      </c>
      <c r="I57" s="121"/>
      <c r="J57" s="118">
        <v>32.0</v>
      </c>
    </row>
    <row r="58" ht="15.75" customHeight="1">
      <c r="E58" s="116" t="s">
        <v>96</v>
      </c>
      <c r="F58" s="127" t="s">
        <v>97</v>
      </c>
      <c r="G58" s="118">
        <v>24.0</v>
      </c>
      <c r="H58" s="116" t="s">
        <v>98</v>
      </c>
      <c r="I58" s="121"/>
      <c r="J58" s="118">
        <v>33.0</v>
      </c>
    </row>
    <row r="59" ht="15.75" customHeight="1">
      <c r="E59" s="116" t="s">
        <v>99</v>
      </c>
      <c r="F59" s="126"/>
      <c r="G59" s="118">
        <v>25.0</v>
      </c>
      <c r="H59" s="116" t="s">
        <v>100</v>
      </c>
      <c r="I59" s="128"/>
      <c r="J59" s="118">
        <v>34.0</v>
      </c>
    </row>
    <row r="60" ht="15.75" customHeight="1">
      <c r="E60" s="116" t="s">
        <v>101</v>
      </c>
      <c r="F60" s="126"/>
      <c r="G60" s="118">
        <v>26.0</v>
      </c>
      <c r="H60" s="116" t="s">
        <v>102</v>
      </c>
      <c r="I60" s="122" t="s">
        <v>68</v>
      </c>
      <c r="J60" s="118">
        <v>35.0</v>
      </c>
    </row>
    <row r="61" ht="15.75" customHeight="1">
      <c r="E61" s="129" t="s">
        <v>103</v>
      </c>
      <c r="F61" s="130"/>
      <c r="G61" s="118">
        <v>27.0</v>
      </c>
      <c r="H61" s="129" t="s">
        <v>104</v>
      </c>
      <c r="I61" s="131" t="s">
        <v>60</v>
      </c>
      <c r="J61" s="118">
        <v>36.0</v>
      </c>
    </row>
    <row r="62" ht="15.75" customHeight="1">
      <c r="B62" s="110"/>
      <c r="C62" s="132"/>
      <c r="E62" s="133"/>
      <c r="F62" s="134"/>
      <c r="H62" s="133"/>
      <c r="I62" s="135"/>
    </row>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printOptions/>
  <pageMargins bottom="0.75" footer="0.0" header="0.0" left="0.7" right="0.7" top="0.75"/>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1.22" defaultRowHeight="15.0"/>
  <cols>
    <col customWidth="1" min="1" max="1" width="5.22"/>
    <col customWidth="1" min="2" max="2" width="14.0"/>
    <col customWidth="1" min="3" max="3" width="29.0"/>
    <col customWidth="1" min="4" max="4" width="24.0"/>
    <col customWidth="1" min="5" max="5" width="18.33"/>
    <col customWidth="1" min="6" max="6" width="23.44"/>
    <col customWidth="1" min="7" max="7" width="4.11"/>
    <col customWidth="1" min="8" max="26" width="10.56"/>
  </cols>
  <sheetData>
    <row r="1" ht="15.75" customHeight="1"/>
    <row r="2" ht="15.75" customHeight="1"/>
    <row r="3" ht="15.75" customHeight="1">
      <c r="B3" s="136" t="s">
        <v>105</v>
      </c>
    </row>
    <row r="4" ht="15.75" customHeight="1"/>
    <row r="5" ht="15.75" customHeight="1">
      <c r="B5" s="137" t="s">
        <v>106</v>
      </c>
    </row>
    <row r="6" ht="15.0" customHeight="1">
      <c r="E6" s="138"/>
    </row>
    <row r="7" ht="28.5" customHeight="1">
      <c r="B7" s="139" t="s">
        <v>56</v>
      </c>
      <c r="C7" s="139" t="s">
        <v>57</v>
      </c>
      <c r="D7" s="139" t="s">
        <v>107</v>
      </c>
      <c r="E7" s="140" t="s">
        <v>108</v>
      </c>
      <c r="F7" s="139" t="s">
        <v>109</v>
      </c>
    </row>
    <row r="8" ht="15.75" customHeight="1">
      <c r="B8" s="141" t="s">
        <v>59</v>
      </c>
      <c r="C8" s="142" t="s">
        <v>60</v>
      </c>
      <c r="D8" s="143">
        <v>2.0</v>
      </c>
      <c r="E8" s="144">
        <v>1.0</v>
      </c>
      <c r="F8" s="144">
        <f>E8*D8</f>
        <v>2</v>
      </c>
    </row>
    <row r="9" ht="15.75" customHeight="1">
      <c r="B9" s="141" t="s">
        <v>63</v>
      </c>
      <c r="C9" s="142" t="s">
        <v>64</v>
      </c>
      <c r="D9" s="144" t="s">
        <v>110</v>
      </c>
      <c r="E9" s="144">
        <v>1.0</v>
      </c>
      <c r="F9" s="144"/>
    </row>
    <row r="10" ht="15.75" customHeight="1">
      <c r="B10" s="141" t="s">
        <v>69</v>
      </c>
      <c r="C10" s="142" t="s">
        <v>60</v>
      </c>
      <c r="D10" s="143">
        <v>2.0</v>
      </c>
      <c r="E10" s="144">
        <v>1.0</v>
      </c>
      <c r="F10" s="144">
        <f>E10*D10</f>
        <v>2</v>
      </c>
      <c r="H10" s="118" t="s">
        <v>17</v>
      </c>
    </row>
    <row r="11" ht="15.75" customHeight="1">
      <c r="B11" s="141" t="s">
        <v>73</v>
      </c>
      <c r="C11" s="142" t="s">
        <v>39</v>
      </c>
      <c r="D11" s="143" t="s">
        <v>111</v>
      </c>
      <c r="E11" s="145"/>
      <c r="F11" s="145"/>
      <c r="H11" s="118" t="s">
        <v>112</v>
      </c>
    </row>
    <row r="12" ht="15.75" customHeight="1">
      <c r="B12" s="141" t="s">
        <v>76</v>
      </c>
      <c r="C12" s="146" t="s">
        <v>113</v>
      </c>
      <c r="D12" s="144">
        <v>4.15</v>
      </c>
      <c r="E12" s="144">
        <v>0.2</v>
      </c>
      <c r="F12" s="144">
        <f>E12*D12</f>
        <v>0.83</v>
      </c>
    </row>
    <row r="13" ht="15.75" customHeight="1">
      <c r="B13" s="141" t="s">
        <v>80</v>
      </c>
      <c r="C13" s="142" t="s">
        <v>39</v>
      </c>
      <c r="D13" s="143">
        <v>2.3</v>
      </c>
      <c r="E13" s="145"/>
      <c r="F13" s="145"/>
      <c r="H13" s="118" t="s">
        <v>114</v>
      </c>
    </row>
    <row r="14" ht="15.75" customHeight="1">
      <c r="B14" s="147" t="s">
        <v>61</v>
      </c>
      <c r="C14" s="142" t="s">
        <v>60</v>
      </c>
      <c r="D14" s="143">
        <v>2.0</v>
      </c>
      <c r="E14" s="144"/>
      <c r="F14" s="144">
        <f>E14*D14</f>
        <v>0</v>
      </c>
    </row>
    <row r="15" ht="15.75" customHeight="1">
      <c r="B15" s="147" t="s">
        <v>65</v>
      </c>
      <c r="C15" s="146" t="s">
        <v>66</v>
      </c>
      <c r="D15" s="143">
        <v>0.75</v>
      </c>
      <c r="E15" s="143" t="s">
        <v>115</v>
      </c>
      <c r="F15" s="143" t="s">
        <v>115</v>
      </c>
      <c r="H15" s="118" t="s">
        <v>38</v>
      </c>
    </row>
    <row r="16" ht="15.75" customHeight="1">
      <c r="B16" s="147" t="s">
        <v>70</v>
      </c>
      <c r="C16" s="142" t="s">
        <v>60</v>
      </c>
      <c r="D16" s="143">
        <v>2.0</v>
      </c>
      <c r="E16" s="144">
        <v>1.0</v>
      </c>
      <c r="F16" s="144">
        <f t="shared" ref="F16:F25" si="1">E16*D16</f>
        <v>2</v>
      </c>
      <c r="H16" s="118" t="s">
        <v>116</v>
      </c>
    </row>
    <row r="17" ht="15.75" customHeight="1">
      <c r="B17" s="147" t="s">
        <v>74</v>
      </c>
      <c r="C17" s="142" t="s">
        <v>38</v>
      </c>
      <c r="D17" s="148">
        <v>5.7</v>
      </c>
      <c r="E17" s="148">
        <v>0.2</v>
      </c>
      <c r="F17" s="144">
        <f t="shared" si="1"/>
        <v>1.14</v>
      </c>
      <c r="H17" s="118" t="s">
        <v>117</v>
      </c>
    </row>
    <row r="18" ht="15.75" customHeight="1">
      <c r="B18" s="147" t="s">
        <v>78</v>
      </c>
      <c r="C18" s="146" t="s">
        <v>113</v>
      </c>
      <c r="D18" s="149">
        <v>4.15</v>
      </c>
      <c r="E18" s="149">
        <v>0.2</v>
      </c>
      <c r="F18" s="144">
        <f t="shared" si="1"/>
        <v>0.83</v>
      </c>
    </row>
    <row r="19" ht="15.75" customHeight="1">
      <c r="B19" s="147" t="s">
        <v>81</v>
      </c>
      <c r="C19" s="142" t="s">
        <v>38</v>
      </c>
      <c r="D19" s="148">
        <v>5.7</v>
      </c>
      <c r="E19" s="148">
        <v>0.2</v>
      </c>
      <c r="F19" s="144">
        <f t="shared" si="1"/>
        <v>1.14</v>
      </c>
    </row>
    <row r="20" ht="15.75" customHeight="1">
      <c r="B20" s="141" t="s">
        <v>62</v>
      </c>
      <c r="C20" s="142" t="s">
        <v>60</v>
      </c>
      <c r="D20" s="143">
        <v>2.0</v>
      </c>
      <c r="E20" s="144">
        <v>1.0</v>
      </c>
      <c r="F20" s="144">
        <f t="shared" si="1"/>
        <v>2</v>
      </c>
    </row>
    <row r="21" ht="15.75" customHeight="1">
      <c r="B21" s="141" t="s">
        <v>67</v>
      </c>
      <c r="C21" s="142" t="s">
        <v>68</v>
      </c>
      <c r="D21" s="143">
        <v>6.8</v>
      </c>
      <c r="E21" s="144">
        <v>0.2</v>
      </c>
      <c r="F21" s="144">
        <f t="shared" si="1"/>
        <v>1.36</v>
      </c>
    </row>
    <row r="22" ht="15.75" customHeight="1">
      <c r="B22" s="141" t="s">
        <v>71</v>
      </c>
      <c r="C22" s="146" t="s">
        <v>72</v>
      </c>
      <c r="D22" s="143">
        <v>8.5</v>
      </c>
      <c r="E22" s="144">
        <v>0.2</v>
      </c>
      <c r="F22" s="144">
        <f t="shared" si="1"/>
        <v>1.7</v>
      </c>
    </row>
    <row r="23" ht="15.75" customHeight="1">
      <c r="B23" s="141" t="s">
        <v>75</v>
      </c>
      <c r="C23" s="142" t="s">
        <v>72</v>
      </c>
      <c r="D23" s="143">
        <v>8.5</v>
      </c>
      <c r="E23" s="143">
        <v>0.11</v>
      </c>
      <c r="F23" s="144">
        <f t="shared" si="1"/>
        <v>0.935</v>
      </c>
      <c r="H23" s="118" t="s">
        <v>118</v>
      </c>
    </row>
    <row r="24" ht="15.75" customHeight="1">
      <c r="B24" s="141" t="s">
        <v>79</v>
      </c>
      <c r="C24" s="142" t="s">
        <v>68</v>
      </c>
      <c r="D24" s="143">
        <v>6.8</v>
      </c>
      <c r="E24" s="144">
        <v>0.2</v>
      </c>
      <c r="F24" s="144">
        <f t="shared" si="1"/>
        <v>1.36</v>
      </c>
    </row>
    <row r="25" ht="15.75" customHeight="1">
      <c r="B25" s="141" t="s">
        <v>82</v>
      </c>
      <c r="C25" s="142" t="s">
        <v>60</v>
      </c>
      <c r="D25" s="143">
        <v>2.0</v>
      </c>
      <c r="E25" s="144">
        <v>1.0</v>
      </c>
      <c r="F25" s="144">
        <f t="shared" si="1"/>
        <v>2</v>
      </c>
    </row>
    <row r="26" ht="15.75" customHeight="1">
      <c r="B26" s="150" t="s">
        <v>83</v>
      </c>
      <c r="C26" s="143" t="s">
        <v>119</v>
      </c>
      <c r="D26" s="143" t="s">
        <v>115</v>
      </c>
      <c r="E26" s="143" t="s">
        <v>115</v>
      </c>
      <c r="F26" s="143" t="s">
        <v>115</v>
      </c>
    </row>
    <row r="27" ht="15.75" customHeight="1">
      <c r="B27" s="150" t="s">
        <v>85</v>
      </c>
      <c r="C27" s="143" t="s">
        <v>119</v>
      </c>
      <c r="D27" s="143" t="s">
        <v>115</v>
      </c>
      <c r="E27" s="143" t="s">
        <v>115</v>
      </c>
      <c r="F27" s="143" t="s">
        <v>115</v>
      </c>
    </row>
    <row r="28" ht="15.75" customHeight="1">
      <c r="B28" s="150" t="s">
        <v>87</v>
      </c>
      <c r="C28" s="146" t="s">
        <v>88</v>
      </c>
      <c r="D28" s="143">
        <v>8.6</v>
      </c>
      <c r="E28" s="143" t="s">
        <v>115</v>
      </c>
      <c r="F28" s="143" t="s">
        <v>115</v>
      </c>
    </row>
    <row r="29" ht="15.75" customHeight="1">
      <c r="B29" s="150" t="s">
        <v>90</v>
      </c>
      <c r="C29" s="146" t="s">
        <v>120</v>
      </c>
      <c r="D29" s="143">
        <v>6.95</v>
      </c>
      <c r="E29" s="143">
        <v>0.2</v>
      </c>
      <c r="F29" s="143">
        <v>1.39</v>
      </c>
    </row>
    <row r="30" ht="15.75" customHeight="1">
      <c r="B30" s="150" t="s">
        <v>93</v>
      </c>
      <c r="C30" s="146" t="s">
        <v>121</v>
      </c>
      <c r="D30" s="143">
        <v>2.0</v>
      </c>
      <c r="E30" s="144">
        <v>1.0</v>
      </c>
      <c r="F30" s="144">
        <f>E30*D30</f>
        <v>2</v>
      </c>
    </row>
    <row r="31" ht="15.75" customHeight="1">
      <c r="B31" s="150" t="s">
        <v>96</v>
      </c>
      <c r="C31" s="146" t="s">
        <v>97</v>
      </c>
      <c r="D31" s="143">
        <v>1.0</v>
      </c>
      <c r="E31" s="143">
        <v>1.0</v>
      </c>
      <c r="F31" s="143">
        <v>1.0</v>
      </c>
    </row>
    <row r="32" ht="15.75" customHeight="1">
      <c r="B32" s="150" t="s">
        <v>99</v>
      </c>
      <c r="C32" s="143" t="s">
        <v>119</v>
      </c>
      <c r="D32" s="143" t="s">
        <v>115</v>
      </c>
      <c r="E32" s="143" t="s">
        <v>115</v>
      </c>
      <c r="F32" s="143" t="s">
        <v>115</v>
      </c>
    </row>
    <row r="33" ht="15.75" customHeight="1">
      <c r="B33" s="150" t="s">
        <v>101</v>
      </c>
      <c r="C33" s="143" t="s">
        <v>119</v>
      </c>
      <c r="D33" s="143" t="s">
        <v>115</v>
      </c>
      <c r="E33" s="143" t="s">
        <v>115</v>
      </c>
      <c r="F33" s="143" t="s">
        <v>115</v>
      </c>
    </row>
    <row r="34" ht="15.75" customHeight="1">
      <c r="B34" s="150" t="s">
        <v>103</v>
      </c>
      <c r="C34" s="143" t="s">
        <v>119</v>
      </c>
      <c r="D34" s="143" t="s">
        <v>115</v>
      </c>
      <c r="E34" s="143" t="s">
        <v>115</v>
      </c>
      <c r="F34" s="143" t="s">
        <v>115</v>
      </c>
    </row>
    <row r="35" ht="15.75" customHeight="1">
      <c r="B35" s="147" t="s">
        <v>84</v>
      </c>
      <c r="C35" s="142" t="s">
        <v>60</v>
      </c>
      <c r="D35" s="143">
        <v>2.0</v>
      </c>
      <c r="E35" s="144">
        <v>1.0</v>
      </c>
      <c r="F35" s="144">
        <f t="shared" ref="F35:F38" si="2">E35*D35</f>
        <v>2</v>
      </c>
    </row>
    <row r="36" ht="15.75" customHeight="1">
      <c r="B36" s="147" t="s">
        <v>86</v>
      </c>
      <c r="C36" s="142" t="s">
        <v>68</v>
      </c>
      <c r="D36" s="143">
        <v>6.8</v>
      </c>
      <c r="E36" s="144">
        <v>0.2</v>
      </c>
      <c r="F36" s="144">
        <f t="shared" si="2"/>
        <v>1.36</v>
      </c>
    </row>
    <row r="37" ht="15.75" customHeight="1">
      <c r="B37" s="147" t="s">
        <v>89</v>
      </c>
      <c r="C37" s="146" t="s">
        <v>72</v>
      </c>
      <c r="D37" s="143">
        <v>8.5</v>
      </c>
      <c r="E37" s="144">
        <v>0.2</v>
      </c>
      <c r="F37" s="144">
        <f t="shared" si="2"/>
        <v>1.7</v>
      </c>
    </row>
    <row r="38" ht="15.75" customHeight="1">
      <c r="B38" s="147" t="s">
        <v>92</v>
      </c>
      <c r="C38" s="146" t="s">
        <v>72</v>
      </c>
      <c r="D38" s="143">
        <v>8.5</v>
      </c>
      <c r="E38" s="143">
        <v>0.11</v>
      </c>
      <c r="F38" s="144">
        <f t="shared" si="2"/>
        <v>0.935</v>
      </c>
      <c r="H38" s="118" t="s">
        <v>118</v>
      </c>
    </row>
    <row r="39" ht="15.75" customHeight="1">
      <c r="B39" s="147" t="s">
        <v>95</v>
      </c>
      <c r="C39" s="143" t="s">
        <v>119</v>
      </c>
      <c r="D39" s="143" t="s">
        <v>115</v>
      </c>
      <c r="E39" s="143" t="s">
        <v>115</v>
      </c>
      <c r="F39" s="143" t="s">
        <v>115</v>
      </c>
    </row>
    <row r="40" ht="15.75" customHeight="1">
      <c r="B40" s="147" t="s">
        <v>98</v>
      </c>
      <c r="C40" s="143" t="s">
        <v>119</v>
      </c>
      <c r="D40" s="143" t="s">
        <v>115</v>
      </c>
      <c r="E40" s="143" t="s">
        <v>115</v>
      </c>
      <c r="F40" s="143" t="s">
        <v>115</v>
      </c>
    </row>
    <row r="41" ht="15.75" customHeight="1">
      <c r="B41" s="147" t="s">
        <v>100</v>
      </c>
      <c r="C41" s="143" t="s">
        <v>119</v>
      </c>
      <c r="D41" s="143" t="s">
        <v>115</v>
      </c>
      <c r="E41" s="143" t="s">
        <v>115</v>
      </c>
      <c r="F41" s="143" t="s">
        <v>115</v>
      </c>
    </row>
    <row r="42" ht="15.75" customHeight="1">
      <c r="B42" s="147" t="s">
        <v>102</v>
      </c>
      <c r="C42" s="142" t="s">
        <v>68</v>
      </c>
      <c r="D42" s="143">
        <v>6.8</v>
      </c>
      <c r="E42" s="144">
        <v>0.2</v>
      </c>
      <c r="F42" s="144">
        <f t="shared" ref="F42:F43" si="3">E42*D42</f>
        <v>1.36</v>
      </c>
    </row>
    <row r="43" ht="15.75" customHeight="1">
      <c r="B43" s="147" t="s">
        <v>104</v>
      </c>
      <c r="C43" s="142" t="s">
        <v>60</v>
      </c>
      <c r="D43" s="143">
        <v>2.0</v>
      </c>
      <c r="E43" s="144">
        <v>1.0</v>
      </c>
      <c r="F43" s="144">
        <f t="shared" si="3"/>
        <v>2</v>
      </c>
    </row>
    <row r="44" ht="15.75" customHeight="1">
      <c r="B44" s="151" t="s">
        <v>122</v>
      </c>
      <c r="C44" s="152"/>
      <c r="D44" s="153">
        <f t="shared" ref="D44:F44" si="4">SUM(D8:D43)</f>
        <v>118.5</v>
      </c>
      <c r="E44" s="153">
        <f t="shared" si="4"/>
        <v>12.42</v>
      </c>
      <c r="F44" s="153">
        <f t="shared" si="4"/>
        <v>33.04</v>
      </c>
    </row>
    <row r="45" ht="15.75" customHeight="1"/>
    <row r="46" ht="15.75" customHeight="1"/>
    <row r="47" ht="15.75" customHeight="1"/>
    <row r="48" ht="15.75" customHeight="1"/>
    <row r="49" ht="15.75" customHeight="1">
      <c r="B49" s="118" t="s">
        <v>123</v>
      </c>
      <c r="C49" s="118" t="s">
        <v>124</v>
      </c>
    </row>
    <row r="50" ht="15.75" customHeight="1">
      <c r="C50" s="118" t="s">
        <v>125</v>
      </c>
    </row>
    <row r="51" ht="15.75" customHeight="1">
      <c r="C51" s="118" t="s">
        <v>126</v>
      </c>
    </row>
    <row r="52" ht="15.75" customHeight="1">
      <c r="C52" s="118" t="s">
        <v>127</v>
      </c>
    </row>
    <row r="53" ht="15.75" customHeight="1">
      <c r="C53" s="118" t="s">
        <v>128</v>
      </c>
    </row>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
    <mergeCell ref="B5:F5"/>
  </mergeCells>
  <printOptions/>
  <pageMargins bottom="0.75" footer="0.0" header="0.0" left="0.7" right="0.7" top="0.75"/>
  <pageSetup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5.56"/>
    <col customWidth="1" min="2" max="2" width="13.11"/>
    <col customWidth="1" min="3" max="3" width="22.11"/>
    <col customWidth="1" min="4" max="4" width="22.22"/>
    <col customWidth="1" min="5" max="5" width="30.56"/>
  </cols>
  <sheetData>
    <row r="3">
      <c r="B3" s="136" t="s">
        <v>129</v>
      </c>
    </row>
    <row r="5">
      <c r="B5" s="137" t="s">
        <v>130</v>
      </c>
    </row>
    <row r="7">
      <c r="B7" s="139" t="s">
        <v>56</v>
      </c>
      <c r="C7" s="139" t="s">
        <v>57</v>
      </c>
      <c r="D7" s="139" t="s">
        <v>107</v>
      </c>
      <c r="E7" s="154" t="s">
        <v>47</v>
      </c>
    </row>
    <row r="8">
      <c r="B8" s="155" t="s">
        <v>131</v>
      </c>
      <c r="C8" s="156"/>
      <c r="D8" s="144"/>
      <c r="E8" s="144"/>
    </row>
    <row r="9">
      <c r="B9" s="155" t="s">
        <v>132</v>
      </c>
      <c r="C9" s="157" t="s">
        <v>133</v>
      </c>
      <c r="D9" s="143">
        <v>6.0</v>
      </c>
      <c r="E9" s="143" t="s">
        <v>134</v>
      </c>
    </row>
    <row r="10">
      <c r="B10" s="155" t="s">
        <v>135</v>
      </c>
      <c r="C10" s="158" t="s">
        <v>133</v>
      </c>
      <c r="D10" s="143">
        <v>3.0</v>
      </c>
      <c r="E10" s="159" t="s">
        <v>136</v>
      </c>
    </row>
    <row r="11">
      <c r="B11" s="155" t="s">
        <v>137</v>
      </c>
      <c r="C11" s="160"/>
      <c r="D11" s="144"/>
      <c r="E11" s="144"/>
    </row>
    <row r="12">
      <c r="B12" s="155" t="s">
        <v>138</v>
      </c>
      <c r="C12" s="161"/>
      <c r="D12" s="144"/>
      <c r="E12" s="144"/>
    </row>
    <row r="13">
      <c r="B13" s="155" t="s">
        <v>139</v>
      </c>
      <c r="C13" s="160"/>
      <c r="D13" s="144"/>
      <c r="E13" s="144"/>
    </row>
    <row r="14">
      <c r="B14" s="155" t="s">
        <v>140</v>
      </c>
      <c r="C14" s="156"/>
      <c r="D14" s="144"/>
      <c r="E14" s="144"/>
    </row>
    <row r="15">
      <c r="B15" s="155" t="s">
        <v>141</v>
      </c>
      <c r="C15" s="144"/>
      <c r="D15" s="144"/>
      <c r="E15" s="144"/>
    </row>
    <row r="16">
      <c r="B16" s="155" t="s">
        <v>142</v>
      </c>
      <c r="C16" s="158" t="s">
        <v>143</v>
      </c>
      <c r="D16" s="143">
        <v>10.0</v>
      </c>
      <c r="E16" s="143" t="s">
        <v>144</v>
      </c>
    </row>
    <row r="17">
      <c r="B17" s="155" t="s">
        <v>145</v>
      </c>
      <c r="C17" s="162" t="s">
        <v>146</v>
      </c>
      <c r="D17" s="143">
        <v>10.0</v>
      </c>
      <c r="E17" s="143" t="s">
        <v>147</v>
      </c>
    </row>
    <row r="18">
      <c r="B18" s="155" t="s">
        <v>148</v>
      </c>
      <c r="C18" s="161"/>
      <c r="D18" s="144"/>
      <c r="E18" s="144"/>
    </row>
    <row r="19">
      <c r="B19" s="155" t="s">
        <v>149</v>
      </c>
      <c r="C19" s="163"/>
      <c r="D19" s="144"/>
      <c r="E19" s="144"/>
    </row>
    <row r="20">
      <c r="B20" s="155" t="s">
        <v>150</v>
      </c>
      <c r="C20" s="156"/>
      <c r="D20" s="144"/>
      <c r="E20" s="144"/>
    </row>
  </sheetData>
  <mergeCells count="1">
    <mergeCell ref="B5:E5"/>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44"/>
    <col customWidth="1" min="2" max="2" width="3.33"/>
    <col customWidth="1" min="3" max="3" width="10.56"/>
    <col customWidth="1" min="4" max="4" width="17.33"/>
    <col customWidth="1" min="5" max="5" width="39.56"/>
    <col customWidth="1" min="6" max="6" width="10.56"/>
    <col customWidth="1" min="7" max="7" width="24.0"/>
    <col customWidth="1" min="8" max="8" width="3.33"/>
    <col customWidth="1" min="9" max="26" width="10.56"/>
  </cols>
  <sheetData>
    <row r="1" ht="15.75" customHeight="1"/>
    <row r="2" ht="15.75" customHeight="1"/>
    <row r="3" ht="15.75" customHeight="1">
      <c r="A3" s="164"/>
      <c r="B3" s="165" t="s">
        <v>151</v>
      </c>
    </row>
    <row r="4" ht="15.75" customHeight="1"/>
    <row r="5" ht="15.75" customHeight="1">
      <c r="B5" s="166" t="s">
        <v>152</v>
      </c>
      <c r="C5" s="2"/>
      <c r="D5" s="2"/>
      <c r="E5" s="2"/>
      <c r="F5" s="2"/>
      <c r="G5" s="2"/>
      <c r="H5" s="3"/>
    </row>
    <row r="6" ht="15.75" customHeight="1">
      <c r="B6" s="167" t="s">
        <v>153</v>
      </c>
      <c r="H6" s="10"/>
    </row>
    <row r="7" ht="15.75" customHeight="1">
      <c r="B7" s="168" t="s">
        <v>154</v>
      </c>
      <c r="C7" s="24"/>
      <c r="D7" s="24"/>
      <c r="E7" s="24"/>
      <c r="F7" s="24"/>
      <c r="G7" s="24"/>
      <c r="H7" s="25"/>
    </row>
    <row r="8" ht="15.75" customHeight="1">
      <c r="B8" s="23"/>
      <c r="C8" s="169" t="s">
        <v>57</v>
      </c>
      <c r="D8" s="169" t="s">
        <v>155</v>
      </c>
      <c r="E8" s="169" t="s">
        <v>156</v>
      </c>
      <c r="F8" s="169" t="s">
        <v>157</v>
      </c>
      <c r="G8" s="169" t="s">
        <v>47</v>
      </c>
      <c r="H8" s="25"/>
    </row>
    <row r="9" ht="15.75" customHeight="1">
      <c r="B9" s="170"/>
      <c r="C9" s="171"/>
      <c r="D9" s="171"/>
      <c r="E9" s="171"/>
      <c r="F9" s="171"/>
      <c r="G9" s="172"/>
      <c r="H9" s="3"/>
    </row>
    <row r="10" ht="15.75" customHeight="1">
      <c r="B10" s="9"/>
      <c r="C10" s="173" t="s">
        <v>158</v>
      </c>
      <c r="D10" s="173" t="s">
        <v>159</v>
      </c>
      <c r="E10" s="173" t="s">
        <v>160</v>
      </c>
      <c r="F10" s="173">
        <v>128.0</v>
      </c>
      <c r="G10" s="174" t="s">
        <v>161</v>
      </c>
      <c r="H10" s="10"/>
    </row>
    <row r="11" ht="15.75" customHeight="1">
      <c r="B11" s="9"/>
      <c r="C11" s="175"/>
      <c r="D11" s="173" t="s">
        <v>162</v>
      </c>
      <c r="E11" s="173" t="s">
        <v>163</v>
      </c>
      <c r="F11" s="173">
        <v>32.0</v>
      </c>
      <c r="G11" s="176"/>
      <c r="H11" s="10"/>
    </row>
    <row r="12" ht="15.75" customHeight="1">
      <c r="B12" s="9"/>
      <c r="C12" s="175"/>
      <c r="D12" s="173" t="s">
        <v>164</v>
      </c>
      <c r="E12" s="173" t="s">
        <v>165</v>
      </c>
      <c r="F12" s="173">
        <v>408.0</v>
      </c>
      <c r="G12" s="176"/>
      <c r="H12" s="10"/>
    </row>
    <row r="13" ht="15.75" customHeight="1">
      <c r="B13" s="9"/>
      <c r="C13" s="175"/>
      <c r="D13" s="173" t="s">
        <v>166</v>
      </c>
      <c r="E13" s="173" t="s">
        <v>167</v>
      </c>
      <c r="F13" s="173">
        <v>10.0</v>
      </c>
      <c r="G13" s="176"/>
      <c r="H13" s="10"/>
    </row>
    <row r="14" ht="15.75" customHeight="1">
      <c r="B14" s="9"/>
      <c r="C14" s="177"/>
      <c r="D14" s="177"/>
      <c r="E14" s="177"/>
      <c r="F14" s="177"/>
      <c r="G14" s="178"/>
      <c r="H14" s="10"/>
    </row>
    <row r="15" ht="15.75" customHeight="1">
      <c r="B15" s="9"/>
      <c r="C15" s="179" t="s">
        <v>168</v>
      </c>
      <c r="D15" s="179" t="s">
        <v>159</v>
      </c>
      <c r="E15" s="179" t="s">
        <v>160</v>
      </c>
      <c r="F15" s="179">
        <v>8.0</v>
      </c>
      <c r="G15" s="180"/>
      <c r="H15" s="10"/>
    </row>
    <row r="16" ht="15.75" customHeight="1">
      <c r="B16" s="9"/>
      <c r="C16" s="181"/>
      <c r="D16" s="179" t="s">
        <v>162</v>
      </c>
      <c r="E16" s="179" t="s">
        <v>169</v>
      </c>
      <c r="F16" s="179">
        <v>2.0</v>
      </c>
      <c r="G16" s="180"/>
      <c r="H16" s="10"/>
    </row>
    <row r="17" ht="15.75" customHeight="1">
      <c r="B17" s="9"/>
      <c r="C17" s="181"/>
      <c r="D17" s="179" t="s">
        <v>164</v>
      </c>
      <c r="E17" s="179" t="s">
        <v>170</v>
      </c>
      <c r="F17" s="179">
        <v>1.0</v>
      </c>
      <c r="G17" s="180"/>
      <c r="H17" s="10"/>
    </row>
    <row r="18" ht="15.75" customHeight="1">
      <c r="B18" s="9"/>
      <c r="C18" s="181"/>
      <c r="D18" s="179" t="s">
        <v>166</v>
      </c>
      <c r="E18" s="179" t="s">
        <v>171</v>
      </c>
      <c r="F18" s="179">
        <v>1.0</v>
      </c>
      <c r="G18" s="180"/>
      <c r="H18" s="10"/>
    </row>
    <row r="19" ht="15.75" customHeight="1">
      <c r="B19" s="9"/>
      <c r="C19" s="177"/>
      <c r="D19" s="182" t="s">
        <v>172</v>
      </c>
      <c r="E19" s="182" t="s">
        <v>173</v>
      </c>
      <c r="F19" s="182">
        <v>2.0</v>
      </c>
      <c r="G19" s="183" t="s">
        <v>174</v>
      </c>
      <c r="H19" s="10"/>
    </row>
    <row r="20" ht="15.75" customHeight="1">
      <c r="B20" s="9"/>
      <c r="C20" s="184"/>
      <c r="D20" s="184"/>
      <c r="E20" s="184"/>
      <c r="F20" s="184"/>
      <c r="G20" s="185"/>
      <c r="H20" s="10"/>
    </row>
    <row r="21" ht="15.75" customHeight="1">
      <c r="B21" s="9"/>
      <c r="C21" s="184" t="s">
        <v>40</v>
      </c>
      <c r="D21" s="184" t="s">
        <v>175</v>
      </c>
      <c r="E21" s="184" t="s">
        <v>176</v>
      </c>
      <c r="F21" s="184">
        <v>1.0</v>
      </c>
      <c r="G21" s="185" t="s">
        <v>177</v>
      </c>
      <c r="H21" s="10"/>
    </row>
    <row r="22" ht="15.75" customHeight="1">
      <c r="B22" s="9"/>
      <c r="C22" s="186"/>
      <c r="D22" s="187" t="s">
        <v>178</v>
      </c>
      <c r="E22" s="187" t="s">
        <v>179</v>
      </c>
      <c r="F22" s="187">
        <v>2.0</v>
      </c>
      <c r="G22" s="188" t="s">
        <v>180</v>
      </c>
      <c r="H22" s="10"/>
    </row>
    <row r="23" ht="15.75" customHeight="1">
      <c r="B23" s="9"/>
      <c r="C23" s="186"/>
      <c r="D23" s="187" t="s">
        <v>178</v>
      </c>
      <c r="E23" s="187" t="s">
        <v>181</v>
      </c>
      <c r="F23" s="187">
        <v>1.0</v>
      </c>
      <c r="G23" s="188" t="s">
        <v>180</v>
      </c>
      <c r="H23" s="10"/>
    </row>
    <row r="24" ht="15.75" customHeight="1">
      <c r="B24" s="9"/>
      <c r="C24" s="186"/>
      <c r="D24" s="187" t="s">
        <v>178</v>
      </c>
      <c r="E24" s="187" t="s">
        <v>182</v>
      </c>
      <c r="F24" s="187">
        <v>4.0</v>
      </c>
      <c r="G24" s="188" t="s">
        <v>180</v>
      </c>
      <c r="H24" s="10"/>
    </row>
    <row r="25" ht="15.75" customHeight="1">
      <c r="B25" s="9"/>
      <c r="C25" s="186"/>
      <c r="D25" s="187" t="s">
        <v>178</v>
      </c>
      <c r="E25" s="187" t="s">
        <v>183</v>
      </c>
      <c r="F25" s="187">
        <v>1.0</v>
      </c>
      <c r="G25" s="188" t="s">
        <v>180</v>
      </c>
      <c r="H25" s="10"/>
    </row>
    <row r="26" ht="15.75" customHeight="1">
      <c r="B26" s="9"/>
      <c r="C26" s="177"/>
      <c r="D26" s="177"/>
      <c r="E26" s="177"/>
      <c r="F26" s="177"/>
      <c r="G26" s="178"/>
      <c r="H26" s="10"/>
    </row>
    <row r="27" ht="15.75" customHeight="1">
      <c r="B27" s="9"/>
      <c r="D27" s="189"/>
      <c r="E27" s="189"/>
      <c r="F27" s="189"/>
      <c r="G27" s="190"/>
      <c r="H27" s="10"/>
    </row>
    <row r="28" ht="15.75" customHeight="1">
      <c r="B28" s="9"/>
      <c r="C28" s="191" t="s">
        <v>38</v>
      </c>
      <c r="D28" s="191" t="s">
        <v>184</v>
      </c>
      <c r="E28" s="191" t="s">
        <v>185</v>
      </c>
      <c r="F28" s="191">
        <v>96.0</v>
      </c>
      <c r="G28" s="190"/>
      <c r="H28" s="10"/>
    </row>
    <row r="29" ht="15.75" customHeight="1">
      <c r="B29" s="9"/>
      <c r="C29" s="189"/>
      <c r="D29" s="191" t="s">
        <v>186</v>
      </c>
      <c r="E29" s="191" t="s">
        <v>187</v>
      </c>
      <c r="F29" s="191">
        <v>24.0</v>
      </c>
      <c r="G29" s="190"/>
      <c r="H29" s="10"/>
    </row>
    <row r="30" ht="15.75" customHeight="1">
      <c r="B30" s="9"/>
      <c r="C30" s="189"/>
      <c r="D30" s="191" t="s">
        <v>188</v>
      </c>
      <c r="E30" s="191" t="s">
        <v>189</v>
      </c>
      <c r="F30" s="191">
        <v>4.0</v>
      </c>
      <c r="G30" s="190"/>
      <c r="H30" s="10"/>
    </row>
    <row r="31" ht="15.75" customHeight="1">
      <c r="B31" s="9"/>
      <c r="C31" s="189"/>
      <c r="D31" s="191" t="s">
        <v>190</v>
      </c>
      <c r="E31" s="189"/>
      <c r="F31" s="189"/>
      <c r="G31" s="190"/>
      <c r="H31" s="10"/>
    </row>
    <row r="32" ht="15.75" customHeight="1">
      <c r="B32" s="9"/>
      <c r="C32" s="177"/>
      <c r="D32" s="177"/>
      <c r="E32" s="177"/>
      <c r="F32" s="177"/>
      <c r="G32" s="178"/>
      <c r="H32" s="10"/>
    </row>
    <row r="33" ht="15.75" customHeight="1">
      <c r="B33" s="9"/>
      <c r="D33" s="192"/>
      <c r="E33" s="192"/>
      <c r="F33" s="192"/>
      <c r="G33" s="193"/>
      <c r="H33" s="10"/>
    </row>
    <row r="34" ht="15.75" customHeight="1">
      <c r="B34" s="9"/>
      <c r="C34" s="194" t="s">
        <v>39</v>
      </c>
      <c r="D34" s="194" t="s">
        <v>191</v>
      </c>
      <c r="E34" s="194" t="s">
        <v>192</v>
      </c>
      <c r="F34" s="194" t="s">
        <v>193</v>
      </c>
      <c r="G34" s="195" t="s">
        <v>194</v>
      </c>
      <c r="H34" s="10"/>
    </row>
    <row r="35" ht="15.75" customHeight="1">
      <c r="B35" s="9"/>
      <c r="C35" s="192"/>
      <c r="D35" s="194" t="s">
        <v>195</v>
      </c>
      <c r="E35" s="194">
        <v>48.0</v>
      </c>
      <c r="F35" s="192"/>
      <c r="G35" s="193"/>
      <c r="H35" s="10"/>
    </row>
    <row r="36" ht="15.75" customHeight="1">
      <c r="B36" s="9"/>
      <c r="C36" s="192"/>
      <c r="D36" s="194" t="s">
        <v>196</v>
      </c>
      <c r="E36" s="194">
        <v>48.0</v>
      </c>
      <c r="F36" s="192"/>
      <c r="G36" s="193"/>
      <c r="H36" s="10"/>
    </row>
    <row r="37" ht="15.75" customHeight="1">
      <c r="B37" s="9"/>
      <c r="C37" s="192"/>
      <c r="D37" s="192"/>
      <c r="E37" s="192"/>
      <c r="F37" s="192"/>
      <c r="G37" s="193"/>
      <c r="H37" s="10"/>
    </row>
    <row r="38" ht="15.75" customHeight="1">
      <c r="B38" s="9"/>
      <c r="C38" s="192"/>
      <c r="D38" s="192"/>
      <c r="E38" s="192"/>
      <c r="F38" s="192"/>
      <c r="G38" s="193"/>
      <c r="H38" s="10"/>
    </row>
    <row r="39" ht="15.75" customHeight="1">
      <c r="B39" s="9"/>
      <c r="C39" s="177"/>
      <c r="D39" s="177"/>
      <c r="E39" s="177"/>
      <c r="F39" s="177"/>
      <c r="G39" s="178"/>
      <c r="H39" s="10"/>
    </row>
    <row r="40" ht="15.75" customHeight="1">
      <c r="B40" s="9"/>
      <c r="D40" s="196"/>
      <c r="E40" s="196"/>
      <c r="F40" s="196"/>
      <c r="G40" s="197"/>
      <c r="H40" s="10"/>
    </row>
    <row r="41" ht="15.75" customHeight="1">
      <c r="B41" s="9"/>
      <c r="C41" s="198" t="s">
        <v>37</v>
      </c>
      <c r="D41" s="198" t="s">
        <v>197</v>
      </c>
      <c r="E41" s="198" t="s">
        <v>198</v>
      </c>
      <c r="F41" s="198">
        <v>26.0</v>
      </c>
      <c r="G41" s="197"/>
      <c r="H41" s="10"/>
    </row>
    <row r="42" ht="15.75" customHeight="1">
      <c r="B42" s="9"/>
      <c r="C42" s="196"/>
      <c r="D42" s="196"/>
      <c r="E42" s="196"/>
      <c r="F42" s="196"/>
      <c r="G42" s="196"/>
      <c r="H42" s="10"/>
    </row>
    <row r="43" ht="15.75" customHeight="1">
      <c r="B43" s="23"/>
      <c r="C43" s="24"/>
      <c r="D43" s="24"/>
      <c r="E43" s="24"/>
      <c r="F43" s="24"/>
      <c r="G43" s="24"/>
      <c r="H43" s="25"/>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B3:E3"/>
    <mergeCell ref="B5:G5"/>
    <mergeCell ref="B6:G6"/>
    <mergeCell ref="B7:G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2.22"/>
    <col customWidth="1" min="3" max="3" width="21.33"/>
    <col customWidth="1" min="4" max="4" width="18.0"/>
    <col customWidth="1" min="5" max="5" width="10.11"/>
    <col customWidth="1" min="6" max="6" width="12.33"/>
    <col customWidth="1" min="7" max="8" width="10.56"/>
    <col customWidth="1" min="9" max="9" width="5.33"/>
    <col customWidth="1" min="10" max="10" width="13.89"/>
    <col customWidth="1" min="11" max="11" width="37.89"/>
    <col customWidth="1" min="12" max="12" width="12.78"/>
    <col customWidth="1" min="13" max="13" width="13.33"/>
    <col customWidth="1" min="14" max="14" width="12.78"/>
    <col customWidth="1" min="15" max="15" width="21.44"/>
    <col customWidth="1" min="16" max="16" width="14.44"/>
    <col customWidth="1" min="17" max="17" width="16.11"/>
    <col customWidth="1" min="18" max="18" width="12.44"/>
    <col customWidth="1" min="19" max="20" width="10.56"/>
    <col customWidth="1" min="21" max="21" width="11.78"/>
    <col customWidth="1" min="22" max="31" width="10.56"/>
  </cols>
  <sheetData>
    <row r="1" ht="15.75" customHeight="1"/>
    <row r="2" ht="15.75" customHeight="1"/>
    <row r="3" ht="15.75" customHeight="1"/>
    <row r="4" ht="15.75" customHeight="1">
      <c r="B4" s="136" t="s">
        <v>199</v>
      </c>
    </row>
    <row r="5" ht="15.75" customHeight="1"/>
    <row r="6" ht="15.75" customHeight="1">
      <c r="B6" s="199" t="s">
        <v>200</v>
      </c>
      <c r="C6" s="2"/>
      <c r="D6" s="2"/>
      <c r="E6" s="2"/>
      <c r="F6" s="200"/>
      <c r="G6" s="200"/>
      <c r="H6" s="200"/>
      <c r="I6" s="200"/>
      <c r="J6" s="200"/>
      <c r="K6" s="200"/>
      <c r="L6" s="200"/>
      <c r="M6" s="200"/>
      <c r="N6" s="200"/>
      <c r="O6" s="200"/>
      <c r="P6" s="201"/>
    </row>
    <row r="7" ht="15.75" customHeight="1">
      <c r="B7" s="202" t="s">
        <v>201</v>
      </c>
      <c r="C7" s="203"/>
      <c r="D7" s="204"/>
      <c r="E7" s="205"/>
      <c r="F7" s="205"/>
      <c r="G7" s="205"/>
      <c r="H7" s="205"/>
      <c r="I7" s="205"/>
      <c r="J7" s="205"/>
      <c r="K7" s="205"/>
      <c r="L7" s="206"/>
      <c r="M7" s="206"/>
      <c r="N7" s="206"/>
      <c r="O7" s="207"/>
      <c r="P7" s="208"/>
      <c r="Q7" s="209" t="s">
        <v>202</v>
      </c>
      <c r="R7" s="2"/>
      <c r="S7" s="2"/>
      <c r="T7" s="2"/>
      <c r="U7" s="2"/>
      <c r="V7" s="3"/>
    </row>
    <row r="8" ht="15.75" customHeight="1">
      <c r="B8" s="210"/>
      <c r="C8" s="211"/>
      <c r="D8" s="212"/>
      <c r="E8" s="213"/>
      <c r="F8" s="213"/>
      <c r="G8" s="213"/>
      <c r="H8" s="213"/>
      <c r="I8" s="213"/>
      <c r="J8" s="213"/>
      <c r="K8" s="213"/>
      <c r="L8" s="213"/>
      <c r="M8" s="213"/>
      <c r="N8" s="213"/>
      <c r="O8" s="213"/>
      <c r="P8" s="214"/>
      <c r="Q8" s="215" t="s">
        <v>203</v>
      </c>
      <c r="R8" s="216"/>
      <c r="S8" s="217"/>
      <c r="T8" s="215" t="s">
        <v>204</v>
      </c>
      <c r="U8" s="216"/>
      <c r="V8" s="217"/>
    </row>
    <row r="9" ht="15.75" customHeight="1">
      <c r="B9" s="218"/>
      <c r="C9" s="219" t="s">
        <v>155</v>
      </c>
      <c r="D9" s="220" t="s">
        <v>156</v>
      </c>
      <c r="E9" s="221" t="s">
        <v>157</v>
      </c>
      <c r="F9" s="222" t="s">
        <v>205</v>
      </c>
      <c r="G9" s="221" t="s">
        <v>206</v>
      </c>
      <c r="H9" s="221" t="s">
        <v>207</v>
      </c>
      <c r="I9" s="221" t="s">
        <v>208</v>
      </c>
      <c r="J9" s="223" t="s">
        <v>209</v>
      </c>
      <c r="K9" s="224" t="s">
        <v>47</v>
      </c>
      <c r="L9" s="223" t="s">
        <v>210</v>
      </c>
      <c r="M9" s="225" t="s">
        <v>211</v>
      </c>
      <c r="N9" s="225" t="s">
        <v>212</v>
      </c>
      <c r="O9" s="225" t="s">
        <v>213</v>
      </c>
      <c r="P9" s="225" t="s">
        <v>214</v>
      </c>
      <c r="Q9" s="226" t="s">
        <v>215</v>
      </c>
      <c r="R9" s="227" t="s">
        <v>216</v>
      </c>
      <c r="S9" s="228" t="s">
        <v>217</v>
      </c>
      <c r="T9" s="227" t="s">
        <v>215</v>
      </c>
      <c r="U9" s="227" t="s">
        <v>218</v>
      </c>
      <c r="V9" s="229" t="s">
        <v>217</v>
      </c>
    </row>
    <row r="10" ht="15.75" customHeight="1">
      <c r="B10" s="230"/>
      <c r="C10" s="231"/>
      <c r="D10" s="232"/>
      <c r="E10" s="233"/>
      <c r="F10" s="233"/>
      <c r="G10" s="233"/>
      <c r="H10" s="233"/>
      <c r="I10" s="224"/>
      <c r="J10" s="234"/>
      <c r="K10" s="234"/>
      <c r="L10" s="235"/>
      <c r="M10" s="235"/>
      <c r="N10" s="236"/>
      <c r="O10" s="224"/>
      <c r="P10" s="233"/>
      <c r="Q10" s="237"/>
      <c r="R10" s="238"/>
      <c r="S10" s="239"/>
      <c r="T10" s="238"/>
      <c r="U10" s="238"/>
      <c r="V10" s="240"/>
    </row>
    <row r="11" ht="15.75" customHeight="1">
      <c r="B11" s="241"/>
      <c r="C11" s="242" t="s">
        <v>219</v>
      </c>
      <c r="D11" s="243" t="s">
        <v>220</v>
      </c>
      <c r="E11" s="244">
        <v>64.0</v>
      </c>
      <c r="F11" s="244">
        <v>0.5</v>
      </c>
      <c r="G11" s="243" t="s">
        <v>221</v>
      </c>
      <c r="H11" s="244" t="s">
        <v>20</v>
      </c>
      <c r="I11" s="243" t="s">
        <v>222</v>
      </c>
      <c r="J11" s="244" t="s">
        <v>223</v>
      </c>
      <c r="K11" s="244" t="s">
        <v>224</v>
      </c>
      <c r="L11" s="245" t="s">
        <v>225</v>
      </c>
      <c r="M11" s="245" t="s">
        <v>226</v>
      </c>
      <c r="N11" s="245" t="s">
        <v>226</v>
      </c>
      <c r="O11" s="223" t="s">
        <v>227</v>
      </c>
      <c r="P11" s="225" t="s">
        <v>228</v>
      </c>
      <c r="Q11" s="246">
        <v>75.0</v>
      </c>
      <c r="R11" s="247">
        <v>0.1</v>
      </c>
      <c r="S11" s="248">
        <v>1.0</v>
      </c>
      <c r="T11" s="249">
        <v>7.0</v>
      </c>
      <c r="U11" s="250">
        <v>3.0</v>
      </c>
      <c r="V11" s="251">
        <v>2.0</v>
      </c>
    </row>
    <row r="12" ht="15.75" customHeight="1">
      <c r="B12" s="241"/>
      <c r="C12" s="242"/>
      <c r="D12" s="243"/>
      <c r="E12" s="243"/>
      <c r="F12" s="243"/>
      <c r="G12" s="243"/>
      <c r="H12" s="243"/>
      <c r="I12" s="243"/>
      <c r="J12" s="243"/>
      <c r="K12" s="243"/>
      <c r="L12" s="252"/>
      <c r="M12" s="252"/>
      <c r="N12" s="252"/>
      <c r="O12" s="224"/>
      <c r="P12" s="233"/>
      <c r="Q12" s="237"/>
      <c r="R12" s="238"/>
      <c r="S12" s="128"/>
      <c r="T12" s="238"/>
      <c r="U12" s="238"/>
      <c r="V12" s="240"/>
    </row>
    <row r="13" ht="15.75" customHeight="1">
      <c r="B13" s="241"/>
      <c r="C13" s="242" t="s">
        <v>229</v>
      </c>
      <c r="D13" s="243" t="s">
        <v>230</v>
      </c>
      <c r="E13" s="243">
        <v>96.0</v>
      </c>
      <c r="F13" s="243">
        <v>0.5</v>
      </c>
      <c r="G13" s="243" t="s">
        <v>221</v>
      </c>
      <c r="H13" s="244">
        <v>10.0</v>
      </c>
      <c r="I13" s="243" t="s">
        <v>222</v>
      </c>
      <c r="J13" s="244" t="s">
        <v>223</v>
      </c>
      <c r="K13" s="253" t="s">
        <v>231</v>
      </c>
      <c r="L13" s="245"/>
      <c r="M13" s="245" t="s">
        <v>232</v>
      </c>
      <c r="N13" s="245" t="s">
        <v>232</v>
      </c>
      <c r="O13" s="223" t="s">
        <v>233</v>
      </c>
      <c r="P13" s="233"/>
      <c r="Q13" s="246">
        <v>2.0</v>
      </c>
      <c r="R13" s="249">
        <v>1.0E-6</v>
      </c>
      <c r="S13" s="248" t="s">
        <v>234</v>
      </c>
      <c r="T13" s="249" t="s">
        <v>227</v>
      </c>
      <c r="U13" s="249" t="s">
        <v>227</v>
      </c>
      <c r="V13" s="251" t="s">
        <v>227</v>
      </c>
    </row>
    <row r="14" ht="15.75" customHeight="1">
      <c r="B14" s="241"/>
      <c r="C14" s="242"/>
      <c r="D14" s="243"/>
      <c r="E14" s="243"/>
      <c r="F14" s="243"/>
      <c r="G14" s="243"/>
      <c r="H14" s="243"/>
      <c r="I14" s="243"/>
      <c r="J14" s="243"/>
      <c r="K14" s="243"/>
      <c r="L14" s="252"/>
      <c r="M14" s="252"/>
      <c r="N14" s="252"/>
      <c r="O14" s="233"/>
      <c r="P14" s="233"/>
      <c r="Q14" s="254"/>
      <c r="S14" s="128"/>
      <c r="V14" s="10"/>
    </row>
    <row r="15" ht="15.75" customHeight="1">
      <c r="B15" s="241"/>
      <c r="C15" s="242" t="s">
        <v>235</v>
      </c>
      <c r="D15" s="244" t="s">
        <v>236</v>
      </c>
      <c r="E15" s="244">
        <v>64.0</v>
      </c>
      <c r="F15" s="243">
        <v>0.25</v>
      </c>
      <c r="G15" s="243" t="s">
        <v>221</v>
      </c>
      <c r="H15" s="244" t="s">
        <v>20</v>
      </c>
      <c r="I15" s="243" t="s">
        <v>222</v>
      </c>
      <c r="J15" s="244" t="s">
        <v>223</v>
      </c>
      <c r="K15" s="244" t="s">
        <v>224</v>
      </c>
      <c r="L15" s="245"/>
      <c r="M15" s="245" t="s">
        <v>232</v>
      </c>
      <c r="N15" s="245" t="s">
        <v>226</v>
      </c>
      <c r="O15" s="233"/>
      <c r="P15" s="233"/>
      <c r="Q15" s="254"/>
      <c r="S15" s="128"/>
      <c r="V15" s="10"/>
    </row>
    <row r="16" ht="15.75" customHeight="1">
      <c r="B16" s="241"/>
      <c r="C16" s="242"/>
      <c r="D16" s="243"/>
      <c r="E16" s="243"/>
      <c r="F16" s="243"/>
      <c r="G16" s="243"/>
      <c r="H16" s="243"/>
      <c r="I16" s="243"/>
      <c r="J16" s="243"/>
      <c r="K16" s="244"/>
      <c r="L16" s="252"/>
      <c r="M16" s="252"/>
      <c r="N16" s="252"/>
      <c r="O16" s="233"/>
      <c r="P16" s="233"/>
      <c r="Q16" s="254"/>
      <c r="S16" s="128"/>
      <c r="V16" s="10"/>
    </row>
    <row r="17" ht="15.75" customHeight="1">
      <c r="B17" s="241"/>
      <c r="C17" s="253" t="s">
        <v>237</v>
      </c>
      <c r="D17" s="244" t="s">
        <v>236</v>
      </c>
      <c r="E17" s="244">
        <v>32.0</v>
      </c>
      <c r="F17" s="244">
        <v>0.25</v>
      </c>
      <c r="G17" s="244" t="s">
        <v>221</v>
      </c>
      <c r="H17" s="244" t="s">
        <v>20</v>
      </c>
      <c r="I17" s="244" t="s">
        <v>222</v>
      </c>
      <c r="J17" s="244" t="s">
        <v>223</v>
      </c>
      <c r="K17" s="244" t="s">
        <v>238</v>
      </c>
      <c r="L17" s="245"/>
      <c r="M17" s="245"/>
      <c r="N17" s="245" t="s">
        <v>226</v>
      </c>
      <c r="O17" s="233"/>
      <c r="P17" s="233"/>
      <c r="Q17" s="254"/>
      <c r="S17" s="128"/>
      <c r="V17" s="10"/>
    </row>
    <row r="18" ht="15.75" customHeight="1">
      <c r="B18" s="241"/>
      <c r="C18" s="242"/>
      <c r="D18" s="243"/>
      <c r="E18" s="243"/>
      <c r="F18" s="243"/>
      <c r="G18" s="243"/>
      <c r="H18" s="243"/>
      <c r="I18" s="243"/>
      <c r="J18" s="243"/>
      <c r="K18" s="244"/>
      <c r="L18" s="252"/>
      <c r="M18" s="252"/>
      <c r="N18" s="252"/>
      <c r="O18" s="233"/>
      <c r="P18" s="233"/>
      <c r="Q18" s="254"/>
      <c r="S18" s="128"/>
      <c r="V18" s="10"/>
    </row>
    <row r="19" ht="15.75" customHeight="1">
      <c r="B19" s="218"/>
      <c r="C19" s="242" t="s">
        <v>239</v>
      </c>
      <c r="D19" s="242" t="s">
        <v>240</v>
      </c>
      <c r="E19" s="243">
        <v>4.0</v>
      </c>
      <c r="F19" s="243">
        <v>0.125</v>
      </c>
      <c r="G19" s="243" t="s">
        <v>221</v>
      </c>
      <c r="H19" s="244" t="s">
        <v>20</v>
      </c>
      <c r="I19" s="243" t="s">
        <v>222</v>
      </c>
      <c r="J19" s="244" t="s">
        <v>223</v>
      </c>
      <c r="K19" s="253" t="s">
        <v>241</v>
      </c>
      <c r="L19" s="245"/>
      <c r="M19" s="245"/>
      <c r="N19" s="245" t="s">
        <v>226</v>
      </c>
      <c r="O19" s="233"/>
      <c r="P19" s="233"/>
      <c r="Q19" s="254"/>
      <c r="S19" s="128"/>
      <c r="V19" s="10"/>
    </row>
    <row r="20" ht="15.75" customHeight="1">
      <c r="B20" s="218"/>
      <c r="C20" s="242"/>
      <c r="D20" s="242"/>
      <c r="E20" s="243"/>
      <c r="F20" s="243"/>
      <c r="G20" s="243"/>
      <c r="H20" s="243"/>
      <c r="I20" s="243"/>
      <c r="J20" s="242"/>
      <c r="K20" s="242"/>
      <c r="L20" s="255"/>
      <c r="M20" s="255"/>
      <c r="N20" s="255"/>
      <c r="O20" s="233"/>
      <c r="P20" s="233"/>
      <c r="Q20" s="254"/>
      <c r="S20" s="128"/>
      <c r="V20" s="10"/>
    </row>
    <row r="21" ht="15.75" customHeight="1">
      <c r="B21" s="218"/>
      <c r="C21" s="256"/>
      <c r="D21" s="242"/>
      <c r="E21" s="243"/>
      <c r="F21" s="243"/>
      <c r="G21" s="243"/>
      <c r="H21" s="243"/>
      <c r="I21" s="243"/>
      <c r="J21" s="242"/>
      <c r="K21" s="242"/>
      <c r="L21" s="255"/>
      <c r="M21" s="255"/>
      <c r="N21" s="255"/>
      <c r="O21" s="233"/>
      <c r="P21" s="233"/>
      <c r="Q21" s="254"/>
      <c r="S21" s="128"/>
      <c r="V21" s="10"/>
    </row>
    <row r="22" ht="15.75" customHeight="1">
      <c r="B22" s="257"/>
      <c r="C22" s="258"/>
      <c r="D22" s="259"/>
      <c r="E22" s="259"/>
      <c r="F22" s="259"/>
      <c r="G22" s="259"/>
      <c r="H22" s="259"/>
      <c r="I22" s="259"/>
      <c r="J22" s="259"/>
      <c r="K22" s="259"/>
      <c r="L22" s="259"/>
      <c r="M22" s="259"/>
      <c r="N22" s="259"/>
      <c r="O22" s="259"/>
      <c r="P22" s="259"/>
      <c r="Q22" s="260"/>
      <c r="R22" s="24"/>
      <c r="S22" s="261"/>
      <c r="T22" s="24"/>
      <c r="U22" s="24"/>
      <c r="V22" s="25"/>
    </row>
    <row r="23" ht="15.75" customHeight="1">
      <c r="C23" s="262"/>
      <c r="D23" s="263"/>
      <c r="E23" s="263"/>
      <c r="F23" s="263"/>
      <c r="G23" s="263"/>
      <c r="H23" s="263"/>
      <c r="I23" s="263"/>
      <c r="J23" s="263"/>
      <c r="K23" s="263"/>
      <c r="L23" s="263"/>
      <c r="M23" s="263"/>
      <c r="N23" s="263"/>
      <c r="O23" s="263"/>
      <c r="P23" s="263"/>
    </row>
    <row r="24" ht="15.75" customHeight="1">
      <c r="C24" s="262"/>
      <c r="D24" s="263"/>
      <c r="E24" s="263"/>
      <c r="F24" s="263"/>
      <c r="G24" s="263"/>
      <c r="H24" s="263"/>
      <c r="I24" s="263"/>
      <c r="J24" s="263"/>
      <c r="K24" s="263"/>
      <c r="L24" s="263"/>
      <c r="M24" s="263"/>
      <c r="N24" s="263"/>
      <c r="O24" s="263"/>
      <c r="P24" s="263"/>
    </row>
    <row r="25" ht="15.75" customHeight="1">
      <c r="B25" s="264" t="s">
        <v>242</v>
      </c>
      <c r="C25" s="206"/>
      <c r="D25" s="206"/>
      <c r="E25" s="206"/>
      <c r="F25" s="206"/>
      <c r="G25" s="206"/>
      <c r="H25" s="263"/>
      <c r="I25" s="263"/>
      <c r="J25" s="263"/>
      <c r="K25" s="263"/>
      <c r="L25" s="263"/>
      <c r="M25" s="263"/>
      <c r="N25" s="263"/>
      <c r="O25" s="263"/>
      <c r="P25" s="263"/>
    </row>
    <row r="26" ht="15.75" customHeight="1">
      <c r="B26" s="265"/>
      <c r="C26" s="262"/>
      <c r="D26" s="263"/>
      <c r="E26" s="263"/>
      <c r="F26" s="263"/>
      <c r="G26" s="263"/>
      <c r="H26" s="263"/>
      <c r="I26" s="263"/>
      <c r="J26" s="263"/>
      <c r="K26" s="263"/>
      <c r="L26" s="263"/>
      <c r="M26" s="263"/>
      <c r="N26" s="263"/>
      <c r="O26" s="263"/>
      <c r="P26" s="263"/>
    </row>
    <row r="27" ht="15.75" customHeight="1">
      <c r="B27" s="265"/>
      <c r="C27" s="266" t="s">
        <v>243</v>
      </c>
      <c r="D27" s="267" t="s">
        <v>244</v>
      </c>
      <c r="E27" s="267" t="s">
        <v>206</v>
      </c>
      <c r="F27" s="267" t="s">
        <v>245</v>
      </c>
      <c r="G27" s="268" t="s">
        <v>246</v>
      </c>
      <c r="H27" s="263"/>
      <c r="I27" s="263"/>
      <c r="J27" s="263"/>
      <c r="K27" s="263"/>
      <c r="L27" s="263"/>
      <c r="M27" s="263"/>
      <c r="N27" s="263"/>
      <c r="O27" s="263"/>
      <c r="P27" s="263"/>
    </row>
    <row r="28" ht="15.75" customHeight="1">
      <c r="B28" s="265"/>
      <c r="C28" s="269" t="s">
        <v>247</v>
      </c>
      <c r="D28" s="270">
        <f>(E11/2)*pi()*POWER(F11/2,2)</f>
        <v>6.283185307</v>
      </c>
      <c r="E28" s="270" t="s">
        <v>248</v>
      </c>
      <c r="F28" s="270" t="s">
        <v>249</v>
      </c>
      <c r="G28" s="271" t="s">
        <v>250</v>
      </c>
      <c r="H28" s="263"/>
      <c r="I28" s="263"/>
      <c r="J28" s="263"/>
      <c r="K28" s="263"/>
      <c r="L28" s="263"/>
      <c r="M28" s="263"/>
      <c r="N28" s="263"/>
      <c r="O28" s="263"/>
      <c r="P28" s="263"/>
    </row>
    <row r="29" ht="15.75" customHeight="1">
      <c r="B29" s="265"/>
      <c r="C29" s="269" t="s">
        <v>251</v>
      </c>
      <c r="D29" s="270">
        <f>(E11/2)*pi()*POWER(F11/2,2)</f>
        <v>6.283185307</v>
      </c>
      <c r="E29" s="270" t="s">
        <v>248</v>
      </c>
      <c r="F29" s="270" t="s">
        <v>249</v>
      </c>
      <c r="G29" s="271" t="s">
        <v>250</v>
      </c>
      <c r="H29" s="263"/>
      <c r="I29" s="263"/>
      <c r="J29" s="263"/>
      <c r="K29" s="263"/>
      <c r="L29" s="263"/>
      <c r="M29" s="263"/>
      <c r="N29" s="263"/>
      <c r="O29" s="263"/>
      <c r="P29" s="263"/>
    </row>
    <row r="30" ht="15.75" customHeight="1">
      <c r="B30" s="265"/>
      <c r="C30" s="272" t="s">
        <v>252</v>
      </c>
      <c r="D30" s="273">
        <f>(E15/2)*pi()*POWER(F15/2,2)</f>
        <v>1.570796327</v>
      </c>
      <c r="E30" s="273" t="s">
        <v>248</v>
      </c>
      <c r="F30" s="273" t="s">
        <v>249</v>
      </c>
      <c r="G30" s="274" t="s">
        <v>253</v>
      </c>
      <c r="H30" s="263"/>
      <c r="I30" s="263"/>
      <c r="J30" s="263"/>
      <c r="K30" s="263"/>
      <c r="L30" s="263"/>
      <c r="M30" s="263"/>
      <c r="N30" s="263"/>
      <c r="O30" s="263"/>
      <c r="P30" s="263"/>
    </row>
    <row r="31" ht="15.75" customHeight="1">
      <c r="B31" s="265"/>
      <c r="C31" s="275" t="s">
        <v>254</v>
      </c>
      <c r="D31" s="276">
        <f>(E15/2)*pi()*POWER(F15/2,2)</f>
        <v>1.570796327</v>
      </c>
      <c r="E31" s="276" t="s">
        <v>248</v>
      </c>
      <c r="F31" s="276" t="s">
        <v>249</v>
      </c>
      <c r="G31" s="277" t="s">
        <v>255</v>
      </c>
      <c r="H31" s="263"/>
      <c r="I31" s="263"/>
      <c r="J31" s="263"/>
      <c r="K31" s="263"/>
      <c r="L31" s="263"/>
      <c r="M31" s="263"/>
      <c r="N31" s="263"/>
      <c r="O31" s="263"/>
      <c r="P31" s="263"/>
    </row>
    <row r="32" ht="15.75" customHeight="1">
      <c r="B32" s="265"/>
      <c r="C32" s="278" t="s">
        <v>256</v>
      </c>
      <c r="D32" s="279">
        <f>(E17/2)*pi()*power(F17/2,2)</f>
        <v>0.7853981634</v>
      </c>
      <c r="E32" s="280" t="s">
        <v>248</v>
      </c>
      <c r="F32" s="280" t="s">
        <v>249</v>
      </c>
      <c r="G32" s="281" t="s">
        <v>253</v>
      </c>
      <c r="H32" s="263"/>
      <c r="I32" s="263"/>
      <c r="J32" s="263"/>
      <c r="K32" s="263"/>
      <c r="L32" s="263"/>
      <c r="M32" s="263"/>
      <c r="N32" s="263"/>
      <c r="O32" s="263"/>
      <c r="P32" s="263"/>
    </row>
    <row r="33" ht="15.75" customHeight="1">
      <c r="B33" s="265"/>
      <c r="C33" s="278" t="s">
        <v>257</v>
      </c>
      <c r="D33" s="279">
        <f>(E17/2)*pi()*power(F17/2,2)</f>
        <v>0.7853981634</v>
      </c>
      <c r="E33" s="280" t="s">
        <v>248</v>
      </c>
      <c r="F33" s="280" t="s">
        <v>249</v>
      </c>
      <c r="G33" s="281" t="s">
        <v>255</v>
      </c>
      <c r="H33" s="263"/>
      <c r="I33" s="263"/>
      <c r="J33" s="263"/>
      <c r="K33" s="263"/>
      <c r="L33" s="263"/>
      <c r="M33" s="263"/>
      <c r="N33" s="263"/>
      <c r="O33" s="263"/>
      <c r="P33" s="263"/>
    </row>
    <row r="34" ht="15.75" customHeight="1">
      <c r="B34" s="265"/>
      <c r="C34" s="272" t="s">
        <v>258</v>
      </c>
      <c r="D34" s="273">
        <f>(E13/2)*pi()*POWER(F13/2,2)</f>
        <v>9.424777961</v>
      </c>
      <c r="E34" s="273" t="s">
        <v>248</v>
      </c>
      <c r="F34" s="273" t="s">
        <v>249</v>
      </c>
      <c r="G34" s="274" t="s">
        <v>253</v>
      </c>
      <c r="H34" s="263"/>
      <c r="I34" s="263"/>
      <c r="J34" s="263"/>
      <c r="K34" s="263"/>
      <c r="L34" s="263"/>
      <c r="M34" s="263"/>
      <c r="N34" s="263"/>
      <c r="O34" s="263"/>
      <c r="P34" s="263"/>
    </row>
    <row r="35" ht="15.75" customHeight="1">
      <c r="B35" s="265"/>
      <c r="C35" s="275" t="s">
        <v>259</v>
      </c>
      <c r="D35" s="276">
        <f>(E13/2)*pi()*POWER(F13/2,2)</f>
        <v>9.424777961</v>
      </c>
      <c r="E35" s="276" t="s">
        <v>248</v>
      </c>
      <c r="F35" s="282" t="s">
        <v>249</v>
      </c>
      <c r="G35" s="283" t="s">
        <v>255</v>
      </c>
      <c r="H35" s="263"/>
      <c r="I35" s="263"/>
      <c r="J35" s="263"/>
      <c r="K35" s="263"/>
      <c r="L35" s="263"/>
      <c r="M35" s="263"/>
      <c r="N35" s="263"/>
      <c r="O35" s="263"/>
      <c r="P35" s="263"/>
    </row>
    <row r="36" ht="15.75" customHeight="1">
      <c r="B36" s="265"/>
      <c r="C36" s="272" t="s">
        <v>260</v>
      </c>
      <c r="D36" s="273">
        <f>(E19/2)*pi()*POWER(F19/2,2)</f>
        <v>0.02454369261</v>
      </c>
      <c r="E36" s="282" t="s">
        <v>248</v>
      </c>
      <c r="F36" s="284" t="s">
        <v>253</v>
      </c>
      <c r="G36" s="285" t="s">
        <v>261</v>
      </c>
      <c r="H36" s="263"/>
      <c r="I36" s="263"/>
      <c r="J36" s="263"/>
      <c r="K36" s="263"/>
      <c r="L36" s="263"/>
      <c r="M36" s="263"/>
      <c r="N36" s="263"/>
      <c r="O36" s="263"/>
      <c r="P36" s="263"/>
    </row>
    <row r="37" ht="15.75" customHeight="1">
      <c r="B37" s="265"/>
      <c r="C37" s="275" t="s">
        <v>262</v>
      </c>
      <c r="D37" s="276">
        <f>(E19/2)*pi()*POWER(F19/2,2)</f>
        <v>0.02454369261</v>
      </c>
      <c r="E37" s="276" t="s">
        <v>248</v>
      </c>
      <c r="F37" s="286" t="s">
        <v>255</v>
      </c>
      <c r="G37" s="287" t="s">
        <v>261</v>
      </c>
      <c r="H37" s="263"/>
      <c r="I37" s="263"/>
      <c r="J37" s="263"/>
      <c r="K37" s="263"/>
      <c r="L37" s="263"/>
      <c r="M37" s="263"/>
      <c r="N37" s="263"/>
      <c r="O37" s="263"/>
      <c r="P37" s="263"/>
    </row>
    <row r="38" ht="15.75" customHeight="1">
      <c r="B38" s="288"/>
      <c r="C38" s="289"/>
      <c r="D38" s="290"/>
      <c r="E38" s="290"/>
      <c r="F38" s="290"/>
      <c r="G38" s="290"/>
      <c r="H38" s="263"/>
      <c r="I38" s="263"/>
      <c r="J38" s="263"/>
      <c r="K38" s="263"/>
      <c r="L38" s="263"/>
      <c r="M38" s="263"/>
      <c r="N38" s="263"/>
      <c r="O38" s="263"/>
      <c r="P38" s="26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B6:E6"/>
    <mergeCell ref="Q7:V7"/>
    <mergeCell ref="Q8:S8"/>
    <mergeCell ref="T8:V8"/>
  </mergeCell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2.22"/>
    <col customWidth="1" min="3" max="3" width="21.33"/>
    <col customWidth="1" min="4" max="4" width="18.0"/>
    <col customWidth="1" min="5" max="5" width="10.11"/>
    <col customWidth="1" min="6" max="6" width="12.33"/>
    <col customWidth="1" min="7" max="8" width="10.56"/>
    <col customWidth="1" min="9" max="9" width="5.33"/>
    <col customWidth="1" min="10" max="10" width="13.89"/>
    <col customWidth="1" min="11" max="11" width="37.89"/>
    <col customWidth="1" min="12" max="12" width="12.78"/>
    <col customWidth="1" min="13" max="13" width="14.56"/>
    <col customWidth="1" min="14" max="28" width="10.56"/>
  </cols>
  <sheetData>
    <row r="1" ht="15.75" customHeight="1"/>
    <row r="2" ht="15.75" customHeight="1"/>
    <row r="3" ht="15.75" customHeight="1"/>
    <row r="4" ht="15.75" customHeight="1">
      <c r="B4" s="136" t="s">
        <v>263</v>
      </c>
    </row>
    <row r="5" ht="15.75" customHeight="1"/>
    <row r="6" ht="15.75" customHeight="1">
      <c r="B6" s="199" t="s">
        <v>200</v>
      </c>
      <c r="C6" s="2"/>
      <c r="D6" s="2"/>
      <c r="E6" s="2"/>
      <c r="F6" s="200"/>
      <c r="G6" s="200"/>
      <c r="H6" s="200"/>
      <c r="I6" s="200"/>
      <c r="J6" s="200"/>
      <c r="K6" s="200"/>
      <c r="L6" s="200"/>
      <c r="M6" s="201"/>
    </row>
    <row r="7" ht="15.75" customHeight="1">
      <c r="B7" s="202" t="s">
        <v>201</v>
      </c>
      <c r="C7" s="203"/>
      <c r="D7" s="204"/>
      <c r="E7" s="205"/>
      <c r="F7" s="205"/>
      <c r="G7" s="205"/>
      <c r="H7" s="205"/>
      <c r="I7" s="205"/>
      <c r="J7" s="205"/>
      <c r="K7" s="205"/>
      <c r="L7" s="206"/>
      <c r="M7" s="291"/>
    </row>
    <row r="8" ht="15.75" customHeight="1">
      <c r="B8" s="210"/>
      <c r="C8" s="211"/>
      <c r="D8" s="212"/>
      <c r="E8" s="213"/>
      <c r="F8" s="213"/>
      <c r="G8" s="213"/>
      <c r="H8" s="213"/>
      <c r="I8" s="213"/>
      <c r="J8" s="213"/>
      <c r="K8" s="213"/>
      <c r="L8" s="213"/>
      <c r="M8" s="214"/>
    </row>
    <row r="9" ht="15.75" customHeight="1">
      <c r="B9" s="218"/>
      <c r="C9" s="219" t="s">
        <v>155</v>
      </c>
      <c r="D9" s="220" t="s">
        <v>156</v>
      </c>
      <c r="E9" s="221" t="s">
        <v>157</v>
      </c>
      <c r="F9" s="222" t="s">
        <v>205</v>
      </c>
      <c r="G9" s="221" t="s">
        <v>206</v>
      </c>
      <c r="H9" s="221" t="s">
        <v>207</v>
      </c>
      <c r="I9" s="221" t="s">
        <v>208</v>
      </c>
      <c r="J9" s="223" t="s">
        <v>209</v>
      </c>
      <c r="K9" s="224" t="s">
        <v>47</v>
      </c>
      <c r="L9" s="225" t="s">
        <v>212</v>
      </c>
      <c r="M9" s="292" t="s">
        <v>214</v>
      </c>
    </row>
    <row r="10" ht="15.75" customHeight="1">
      <c r="B10" s="230"/>
      <c r="C10" s="231"/>
      <c r="D10" s="232"/>
      <c r="E10" s="233"/>
      <c r="F10" s="233"/>
      <c r="G10" s="233"/>
      <c r="H10" s="233"/>
      <c r="I10" s="224"/>
      <c r="J10" s="234"/>
      <c r="K10" s="234"/>
      <c r="L10" s="236"/>
      <c r="M10" s="293"/>
    </row>
    <row r="11" ht="15.75" customHeight="1">
      <c r="B11" s="241"/>
      <c r="C11" s="242" t="s">
        <v>219</v>
      </c>
      <c r="D11" s="243" t="s">
        <v>220</v>
      </c>
      <c r="E11" s="244">
        <v>64.0</v>
      </c>
      <c r="F11" s="244">
        <v>0.5</v>
      </c>
      <c r="G11" s="243" t="s">
        <v>221</v>
      </c>
      <c r="H11" s="244" t="s">
        <v>20</v>
      </c>
      <c r="I11" s="243" t="s">
        <v>222</v>
      </c>
      <c r="J11" s="244" t="s">
        <v>223</v>
      </c>
      <c r="K11" s="244" t="s">
        <v>264</v>
      </c>
      <c r="L11" s="245" t="s">
        <v>226</v>
      </c>
      <c r="M11" s="293"/>
    </row>
    <row r="12" ht="15.75" customHeight="1">
      <c r="B12" s="241"/>
      <c r="C12" s="242"/>
      <c r="D12" s="243"/>
      <c r="E12" s="243"/>
      <c r="F12" s="243"/>
      <c r="G12" s="243"/>
      <c r="H12" s="243"/>
      <c r="I12" s="243"/>
      <c r="J12" s="243"/>
      <c r="K12" s="243"/>
      <c r="L12" s="252"/>
      <c r="M12" s="293"/>
    </row>
    <row r="13" ht="15.75" customHeight="1">
      <c r="B13" s="241"/>
      <c r="C13" s="242" t="s">
        <v>229</v>
      </c>
      <c r="D13" s="243" t="s">
        <v>230</v>
      </c>
      <c r="E13" s="244">
        <v>128.0</v>
      </c>
      <c r="F13" s="243">
        <v>0.5</v>
      </c>
      <c r="G13" s="243" t="s">
        <v>221</v>
      </c>
      <c r="H13" s="244">
        <v>10.0</v>
      </c>
      <c r="I13" s="243" t="s">
        <v>222</v>
      </c>
      <c r="J13" s="244" t="s">
        <v>223</v>
      </c>
      <c r="K13" s="253" t="s">
        <v>265</v>
      </c>
      <c r="L13" s="245" t="s">
        <v>226</v>
      </c>
      <c r="M13" s="293"/>
    </row>
    <row r="14" ht="15.75" customHeight="1">
      <c r="B14" s="241"/>
      <c r="C14" s="242"/>
      <c r="D14" s="243"/>
      <c r="E14" s="243"/>
      <c r="F14" s="243"/>
      <c r="G14" s="243"/>
      <c r="H14" s="243"/>
      <c r="I14" s="243"/>
      <c r="J14" s="243"/>
      <c r="K14" s="243"/>
      <c r="L14" s="252"/>
      <c r="M14" s="293"/>
    </row>
    <row r="15" ht="15.75" customHeight="1">
      <c r="B15" s="241"/>
      <c r="C15" s="253" t="s">
        <v>266</v>
      </c>
      <c r="D15" s="244" t="s">
        <v>236</v>
      </c>
      <c r="E15" s="244">
        <v>64.0</v>
      </c>
      <c r="F15" s="243">
        <v>0.25</v>
      </c>
      <c r="G15" s="243" t="s">
        <v>221</v>
      </c>
      <c r="H15" s="244" t="s">
        <v>20</v>
      </c>
      <c r="I15" s="243" t="s">
        <v>222</v>
      </c>
      <c r="J15" s="244" t="s">
        <v>223</v>
      </c>
      <c r="K15" s="244" t="s">
        <v>264</v>
      </c>
      <c r="L15" s="245" t="s">
        <v>226</v>
      </c>
      <c r="M15" s="293"/>
    </row>
    <row r="16" ht="15.75" customHeight="1">
      <c r="B16" s="241"/>
      <c r="C16" s="242"/>
      <c r="D16" s="243"/>
      <c r="E16" s="243"/>
      <c r="F16" s="243"/>
      <c r="G16" s="243"/>
      <c r="H16" s="243"/>
      <c r="I16" s="243"/>
      <c r="J16" s="243"/>
      <c r="K16" s="244"/>
      <c r="L16" s="252"/>
      <c r="M16" s="293"/>
    </row>
    <row r="17" ht="15.75" customHeight="1">
      <c r="B17" s="241"/>
      <c r="C17" s="253" t="s">
        <v>267</v>
      </c>
      <c r="D17" s="244" t="s">
        <v>236</v>
      </c>
      <c r="E17" s="244">
        <v>16.0</v>
      </c>
      <c r="F17" s="244">
        <v>0.25</v>
      </c>
      <c r="G17" s="244" t="s">
        <v>221</v>
      </c>
      <c r="H17" s="244" t="s">
        <v>20</v>
      </c>
      <c r="I17" s="244" t="s">
        <v>222</v>
      </c>
      <c r="J17" s="244" t="s">
        <v>223</v>
      </c>
      <c r="K17" s="244" t="s">
        <v>268</v>
      </c>
      <c r="L17" s="245" t="s">
        <v>226</v>
      </c>
      <c r="M17" s="293"/>
    </row>
    <row r="18" ht="15.75" customHeight="1">
      <c r="B18" s="241"/>
      <c r="C18" s="242"/>
      <c r="D18" s="243"/>
      <c r="E18" s="243"/>
      <c r="F18" s="243"/>
      <c r="G18" s="243"/>
      <c r="H18" s="243"/>
      <c r="I18" s="243"/>
      <c r="J18" s="243"/>
      <c r="K18" s="244"/>
      <c r="L18" s="252"/>
      <c r="M18" s="293"/>
    </row>
    <row r="19" ht="15.75" customHeight="1">
      <c r="B19" s="218"/>
      <c r="C19" s="242" t="s">
        <v>239</v>
      </c>
      <c r="D19" s="242" t="s">
        <v>240</v>
      </c>
      <c r="E19" s="243">
        <v>4.0</v>
      </c>
      <c r="F19" s="243">
        <v>0.125</v>
      </c>
      <c r="G19" s="243" t="s">
        <v>221</v>
      </c>
      <c r="H19" s="244" t="s">
        <v>20</v>
      </c>
      <c r="I19" s="243" t="s">
        <v>222</v>
      </c>
      <c r="J19" s="244" t="s">
        <v>223</v>
      </c>
      <c r="K19" s="253" t="s">
        <v>241</v>
      </c>
      <c r="L19" s="245" t="s">
        <v>226</v>
      </c>
      <c r="M19" s="293"/>
    </row>
    <row r="20" ht="15.75" customHeight="1">
      <c r="B20" s="218"/>
      <c r="C20" s="242"/>
      <c r="D20" s="242"/>
      <c r="E20" s="243"/>
      <c r="F20" s="243"/>
      <c r="G20" s="243"/>
      <c r="H20" s="243"/>
      <c r="I20" s="243"/>
      <c r="J20" s="242"/>
      <c r="K20" s="242"/>
      <c r="L20" s="255"/>
      <c r="M20" s="293"/>
    </row>
    <row r="21" ht="15.75" customHeight="1">
      <c r="B21" s="218"/>
      <c r="C21" s="256"/>
      <c r="D21" s="242"/>
      <c r="E21" s="243"/>
      <c r="F21" s="243"/>
      <c r="G21" s="243"/>
      <c r="H21" s="243"/>
      <c r="I21" s="243"/>
      <c r="J21" s="242"/>
      <c r="K21" s="242"/>
      <c r="L21" s="255"/>
      <c r="M21" s="293"/>
    </row>
    <row r="22" ht="15.75" customHeight="1">
      <c r="B22" s="257"/>
      <c r="C22" s="258"/>
      <c r="D22" s="259"/>
      <c r="E22" s="259"/>
      <c r="F22" s="259"/>
      <c r="G22" s="259"/>
      <c r="H22" s="259"/>
      <c r="I22" s="259"/>
      <c r="J22" s="259"/>
      <c r="K22" s="259"/>
      <c r="L22" s="259"/>
      <c r="M22" s="294"/>
    </row>
    <row r="23" ht="15.75" customHeight="1">
      <c r="C23" s="262"/>
      <c r="D23" s="263"/>
      <c r="E23" s="263"/>
      <c r="F23" s="263"/>
      <c r="G23" s="263"/>
      <c r="H23" s="263"/>
      <c r="I23" s="263"/>
      <c r="J23" s="263"/>
      <c r="K23" s="263"/>
      <c r="L23" s="263"/>
      <c r="M23" s="263"/>
    </row>
    <row r="24" ht="15.75" customHeight="1">
      <c r="C24" s="262"/>
      <c r="D24" s="263"/>
      <c r="E24" s="263"/>
      <c r="F24" s="263"/>
      <c r="G24" s="263"/>
      <c r="H24" s="263"/>
      <c r="I24" s="263"/>
      <c r="J24" s="263"/>
      <c r="K24" s="263"/>
      <c r="L24" s="263"/>
      <c r="M24" s="263"/>
    </row>
    <row r="25" ht="15.75" customHeight="1">
      <c r="B25" s="264" t="s">
        <v>242</v>
      </c>
      <c r="C25" s="206"/>
      <c r="D25" s="206"/>
      <c r="E25" s="206"/>
      <c r="F25" s="206"/>
      <c r="G25" s="206"/>
      <c r="H25" s="291"/>
      <c r="I25" s="263"/>
      <c r="J25" s="295"/>
      <c r="K25" s="263"/>
      <c r="L25" s="263"/>
      <c r="M25" s="263"/>
    </row>
    <row r="26" ht="15.75" customHeight="1">
      <c r="B26" s="265"/>
      <c r="C26" s="262"/>
      <c r="D26" s="263"/>
      <c r="E26" s="263"/>
      <c r="F26" s="263"/>
      <c r="G26" s="263"/>
      <c r="H26" s="296"/>
      <c r="I26" s="263"/>
      <c r="J26" s="263"/>
      <c r="K26" s="263"/>
      <c r="L26" s="263"/>
      <c r="M26" s="263"/>
    </row>
    <row r="27" ht="15.75" customHeight="1">
      <c r="B27" s="265"/>
      <c r="C27" s="266" t="s">
        <v>243</v>
      </c>
      <c r="D27" s="267" t="s">
        <v>244</v>
      </c>
      <c r="E27" s="267" t="s">
        <v>206</v>
      </c>
      <c r="F27" s="267" t="s">
        <v>245</v>
      </c>
      <c r="G27" s="297" t="s">
        <v>246</v>
      </c>
      <c r="H27" s="296"/>
      <c r="I27" s="263"/>
      <c r="J27" s="295"/>
      <c r="K27" s="295"/>
      <c r="L27" s="295"/>
      <c r="M27" s="263"/>
    </row>
    <row r="28" ht="15.75" customHeight="1">
      <c r="B28" s="265"/>
      <c r="C28" s="269" t="s">
        <v>247</v>
      </c>
      <c r="D28" s="270">
        <f>(E11/2)*pi()*POWER(F11/2,2)</f>
        <v>6.283185307</v>
      </c>
      <c r="E28" s="270" t="s">
        <v>248</v>
      </c>
      <c r="F28" s="270" t="s">
        <v>249</v>
      </c>
      <c r="G28" s="298" t="s">
        <v>250</v>
      </c>
      <c r="H28" s="296"/>
      <c r="I28" s="263"/>
      <c r="J28" s="295"/>
      <c r="K28" s="263"/>
      <c r="L28" s="295"/>
      <c r="M28" s="263"/>
    </row>
    <row r="29" ht="15.75" customHeight="1">
      <c r="B29" s="265"/>
      <c r="C29" s="269" t="s">
        <v>251</v>
      </c>
      <c r="D29" s="270">
        <f>(E11/2)*pi()*POWER(F11/2,2)</f>
        <v>6.283185307</v>
      </c>
      <c r="E29" s="270" t="s">
        <v>248</v>
      </c>
      <c r="F29" s="270" t="s">
        <v>249</v>
      </c>
      <c r="G29" s="298" t="s">
        <v>250</v>
      </c>
      <c r="H29" s="296"/>
      <c r="I29" s="263"/>
      <c r="J29" s="295"/>
      <c r="K29" s="263"/>
      <c r="L29" s="263"/>
      <c r="M29" s="263"/>
    </row>
    <row r="30" ht="15.75" customHeight="1">
      <c r="B30" s="265"/>
      <c r="C30" s="272" t="s">
        <v>252</v>
      </c>
      <c r="D30" s="273">
        <f>(E15/2)*pi()*POWER(F15/2,2)</f>
        <v>1.570796327</v>
      </c>
      <c r="E30" s="273" t="s">
        <v>248</v>
      </c>
      <c r="F30" s="273" t="s">
        <v>249</v>
      </c>
      <c r="G30" s="299" t="s">
        <v>253</v>
      </c>
      <c r="H30" s="296"/>
      <c r="I30" s="263"/>
      <c r="J30" s="263"/>
      <c r="K30" s="263"/>
      <c r="L30" s="263"/>
      <c r="M30" s="263"/>
    </row>
    <row r="31" ht="15.75" customHeight="1">
      <c r="B31" s="265"/>
      <c r="C31" s="275" t="s">
        <v>254</v>
      </c>
      <c r="D31" s="276">
        <f>(E15/2)*pi()*POWER(F15/2,2)</f>
        <v>1.570796327</v>
      </c>
      <c r="E31" s="276" t="s">
        <v>248</v>
      </c>
      <c r="F31" s="276" t="s">
        <v>249</v>
      </c>
      <c r="G31" s="300" t="s">
        <v>255</v>
      </c>
      <c r="H31" s="296"/>
      <c r="I31" s="263"/>
      <c r="J31" s="263"/>
      <c r="K31" s="263"/>
      <c r="L31" s="263"/>
      <c r="M31" s="263"/>
    </row>
    <row r="32" ht="15.75" customHeight="1">
      <c r="B32" s="265"/>
      <c r="C32" s="278" t="s">
        <v>256</v>
      </c>
      <c r="D32" s="279">
        <f>(E17/2)*pi()*power(F17/2,2)</f>
        <v>0.3926990817</v>
      </c>
      <c r="E32" s="280" t="s">
        <v>248</v>
      </c>
      <c r="F32" s="280" t="s">
        <v>249</v>
      </c>
      <c r="G32" s="301" t="s">
        <v>253</v>
      </c>
      <c r="H32" s="296"/>
      <c r="I32" s="263"/>
      <c r="J32" s="263"/>
      <c r="K32" s="263"/>
      <c r="L32" s="263"/>
      <c r="M32" s="263"/>
    </row>
    <row r="33" ht="15.75" customHeight="1">
      <c r="B33" s="265"/>
      <c r="C33" s="278" t="s">
        <v>257</v>
      </c>
      <c r="D33" s="279">
        <f>(E17/2)*pi()*power(F17/2,2)</f>
        <v>0.3926990817</v>
      </c>
      <c r="E33" s="280" t="s">
        <v>248</v>
      </c>
      <c r="F33" s="280" t="s">
        <v>249</v>
      </c>
      <c r="G33" s="301" t="s">
        <v>255</v>
      </c>
      <c r="H33" s="296"/>
      <c r="I33" s="263"/>
      <c r="J33" s="263"/>
      <c r="K33" s="263"/>
      <c r="L33" s="263"/>
      <c r="M33" s="263"/>
    </row>
    <row r="34" ht="15.75" customHeight="1">
      <c r="B34" s="265"/>
      <c r="C34" s="272" t="s">
        <v>258</v>
      </c>
      <c r="D34" s="273">
        <f>(E13/2)*pi()*POWER(F13/2,2)</f>
        <v>12.56637061</v>
      </c>
      <c r="E34" s="273" t="s">
        <v>248</v>
      </c>
      <c r="F34" s="273" t="s">
        <v>249</v>
      </c>
      <c r="G34" s="299" t="s">
        <v>253</v>
      </c>
      <c r="H34" s="296"/>
      <c r="I34" s="263"/>
      <c r="J34" s="263"/>
      <c r="K34" s="263"/>
      <c r="L34" s="263"/>
      <c r="M34" s="263"/>
    </row>
    <row r="35" ht="15.75" customHeight="1">
      <c r="B35" s="265"/>
      <c r="C35" s="275" t="s">
        <v>259</v>
      </c>
      <c r="D35" s="276">
        <f>(E13/2)*pi()*POWER(F13/2,2)</f>
        <v>12.56637061</v>
      </c>
      <c r="E35" s="276" t="s">
        <v>248</v>
      </c>
      <c r="F35" s="282" t="s">
        <v>249</v>
      </c>
      <c r="G35" s="302" t="s">
        <v>255</v>
      </c>
      <c r="H35" s="296"/>
      <c r="I35" s="263"/>
      <c r="J35" s="263"/>
      <c r="K35" s="263"/>
      <c r="L35" s="263"/>
      <c r="M35" s="263"/>
    </row>
    <row r="36" ht="15.75" customHeight="1">
      <c r="B36" s="265"/>
      <c r="C36" s="272" t="s">
        <v>260</v>
      </c>
      <c r="D36" s="273">
        <f>(E19/2)*pi()*POWER(F19/2,2)</f>
        <v>0.02454369261</v>
      </c>
      <c r="E36" s="282" t="s">
        <v>248</v>
      </c>
      <c r="F36" s="284" t="s">
        <v>253</v>
      </c>
      <c r="G36" s="303" t="s">
        <v>261</v>
      </c>
      <c r="H36" s="296"/>
      <c r="I36" s="263"/>
      <c r="J36" s="263"/>
      <c r="K36" s="263"/>
      <c r="L36" s="263"/>
      <c r="M36" s="263"/>
    </row>
    <row r="37" ht="15.75" customHeight="1">
      <c r="B37" s="265"/>
      <c r="C37" s="275" t="s">
        <v>262</v>
      </c>
      <c r="D37" s="276">
        <f>(E19/2)*pi()*POWER(F19/2,2)</f>
        <v>0.02454369261</v>
      </c>
      <c r="E37" s="276" t="s">
        <v>248</v>
      </c>
      <c r="F37" s="286" t="s">
        <v>255</v>
      </c>
      <c r="G37" s="304" t="s">
        <v>261</v>
      </c>
      <c r="H37" s="296"/>
      <c r="I37" s="263"/>
      <c r="J37" s="263"/>
      <c r="K37" s="263"/>
      <c r="L37" s="263"/>
      <c r="M37" s="263"/>
    </row>
    <row r="38" ht="15.75" customHeight="1">
      <c r="B38" s="288"/>
      <c r="C38" s="289"/>
      <c r="D38" s="290"/>
      <c r="E38" s="290"/>
      <c r="F38" s="290"/>
      <c r="G38" s="290"/>
      <c r="H38" s="305"/>
      <c r="I38" s="263"/>
      <c r="J38" s="263"/>
      <c r="K38" s="263"/>
      <c r="L38" s="263"/>
      <c r="M38" s="26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
    <mergeCell ref="B6:E6"/>
  </mergeCell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1.22" defaultRowHeight="15.0"/>
  <cols>
    <col customWidth="1" min="1" max="1" width="3.0"/>
    <col customWidth="1" min="2" max="2" width="2.44"/>
    <col customWidth="1" min="3" max="3" width="20.67"/>
    <col customWidth="1" min="4" max="4" width="22.11"/>
    <col customWidth="1" min="5" max="6" width="10.56"/>
    <col customWidth="1" min="7" max="7" width="10.33"/>
    <col customWidth="1" min="8" max="8" width="10.56"/>
    <col customWidth="1" min="9" max="9" width="5.33"/>
    <col customWidth="1" min="10" max="10" width="16.78"/>
    <col customWidth="1" min="11" max="11" width="23.56"/>
    <col customWidth="1" min="12" max="13" width="16.67"/>
    <col customWidth="1" min="14" max="28" width="10.56"/>
  </cols>
  <sheetData>
    <row r="1" ht="15.75" customHeight="1"/>
    <row r="2" ht="15.75" customHeight="1"/>
    <row r="3" ht="15.75" customHeight="1">
      <c r="B3" s="108" t="s">
        <v>269</v>
      </c>
    </row>
    <row r="4" ht="15.75" customHeight="1"/>
    <row r="5" ht="15.75" customHeight="1">
      <c r="B5" s="199" t="s">
        <v>200</v>
      </c>
      <c r="C5" s="2"/>
      <c r="D5" s="2"/>
      <c r="E5" s="2"/>
      <c r="F5" s="200"/>
      <c r="G5" s="200"/>
      <c r="H5" s="200"/>
      <c r="I5" s="200"/>
      <c r="J5" s="200"/>
      <c r="K5" s="200"/>
      <c r="L5" s="200"/>
      <c r="M5" s="201"/>
    </row>
    <row r="6" ht="15.75" customHeight="1">
      <c r="B6" s="202" t="s">
        <v>201</v>
      </c>
      <c r="C6" s="203"/>
      <c r="D6" s="204"/>
      <c r="E6" s="205"/>
      <c r="F6" s="205"/>
      <c r="G6" s="205"/>
      <c r="H6" s="205"/>
      <c r="I6" s="205"/>
      <c r="J6" s="205"/>
      <c r="K6" s="205"/>
      <c r="L6" s="206"/>
      <c r="M6" s="291"/>
    </row>
    <row r="7" ht="15.75" customHeight="1">
      <c r="B7" s="210"/>
      <c r="C7" s="211"/>
      <c r="D7" s="212"/>
      <c r="E7" s="213"/>
      <c r="F7" s="213"/>
      <c r="G7" s="213"/>
      <c r="H7" s="213"/>
      <c r="I7" s="213"/>
      <c r="J7" s="213"/>
      <c r="K7" s="213"/>
      <c r="L7" s="213"/>
      <c r="M7" s="214"/>
    </row>
    <row r="8" ht="15.75" customHeight="1">
      <c r="B8" s="218"/>
      <c r="C8" s="219" t="s">
        <v>155</v>
      </c>
      <c r="D8" s="220" t="s">
        <v>156</v>
      </c>
      <c r="E8" s="221" t="s">
        <v>157</v>
      </c>
      <c r="F8" s="222" t="s">
        <v>205</v>
      </c>
      <c r="G8" s="221" t="s">
        <v>206</v>
      </c>
      <c r="H8" s="221" t="s">
        <v>207</v>
      </c>
      <c r="I8" s="221" t="s">
        <v>208</v>
      </c>
      <c r="J8" s="223" t="s">
        <v>270</v>
      </c>
      <c r="K8" s="224" t="s">
        <v>47</v>
      </c>
      <c r="L8" s="225" t="s">
        <v>212</v>
      </c>
      <c r="M8" s="292" t="s">
        <v>214</v>
      </c>
    </row>
    <row r="9" ht="15.75" customHeight="1">
      <c r="B9" s="230"/>
      <c r="C9" s="231"/>
      <c r="D9" s="232"/>
      <c r="E9" s="233"/>
      <c r="F9" s="233"/>
      <c r="G9" s="233"/>
      <c r="H9" s="233"/>
      <c r="I9" s="224"/>
      <c r="J9" s="234"/>
      <c r="K9" s="234"/>
      <c r="L9" s="233"/>
      <c r="M9" s="293"/>
    </row>
    <row r="10" ht="15.75" customHeight="1">
      <c r="B10" s="241"/>
      <c r="C10" s="242" t="s">
        <v>219</v>
      </c>
      <c r="D10" s="244" t="s">
        <v>271</v>
      </c>
      <c r="E10" s="243">
        <f>16*4</f>
        <v>64</v>
      </c>
      <c r="F10" s="243">
        <v>1.0</v>
      </c>
      <c r="G10" s="243" t="s">
        <v>221</v>
      </c>
      <c r="H10" s="244" t="s">
        <v>20</v>
      </c>
      <c r="I10" s="243" t="s">
        <v>222</v>
      </c>
      <c r="J10" s="244" t="s">
        <v>223</v>
      </c>
      <c r="K10" s="253" t="s">
        <v>272</v>
      </c>
      <c r="L10" s="233"/>
      <c r="M10" s="293"/>
    </row>
    <row r="11" ht="15.75" customHeight="1">
      <c r="B11" s="241"/>
      <c r="C11" s="242"/>
      <c r="D11" s="243"/>
      <c r="E11" s="243"/>
      <c r="F11" s="243"/>
      <c r="G11" s="243"/>
      <c r="H11" s="243"/>
      <c r="I11" s="243"/>
      <c r="J11" s="243"/>
      <c r="K11" s="243"/>
      <c r="L11" s="233"/>
      <c r="M11" s="293"/>
    </row>
    <row r="12" ht="15.75" customHeight="1">
      <c r="B12" s="241"/>
      <c r="C12" s="242" t="s">
        <v>229</v>
      </c>
      <c r="D12" s="243" t="s">
        <v>230</v>
      </c>
      <c r="E12" s="243">
        <f>48*4*8</f>
        <v>1536</v>
      </c>
      <c r="F12" s="243">
        <v>0.5</v>
      </c>
      <c r="G12" s="243" t="s">
        <v>221</v>
      </c>
      <c r="H12" s="244">
        <v>10.0</v>
      </c>
      <c r="I12" s="243" t="s">
        <v>222</v>
      </c>
      <c r="J12" s="244" t="s">
        <v>223</v>
      </c>
      <c r="K12" s="242" t="s">
        <v>273</v>
      </c>
      <c r="L12" s="233"/>
      <c r="M12" s="293"/>
    </row>
    <row r="13" ht="15.75" customHeight="1">
      <c r="B13" s="241"/>
      <c r="C13" s="242"/>
      <c r="D13" s="243"/>
      <c r="E13" s="243"/>
      <c r="F13" s="243"/>
      <c r="G13" s="243"/>
      <c r="H13" s="243"/>
      <c r="I13" s="243"/>
      <c r="J13" s="243"/>
      <c r="K13" s="243"/>
      <c r="L13" s="233"/>
      <c r="M13" s="293"/>
    </row>
    <row r="14" ht="15.75" customHeight="1">
      <c r="B14" s="241"/>
      <c r="C14" s="253" t="s">
        <v>274</v>
      </c>
      <c r="D14" s="244" t="s">
        <v>275</v>
      </c>
      <c r="E14" s="243">
        <f>8*64</f>
        <v>512</v>
      </c>
      <c r="F14" s="244">
        <v>0.33</v>
      </c>
      <c r="G14" s="243" t="s">
        <v>221</v>
      </c>
      <c r="H14" s="244" t="s">
        <v>20</v>
      </c>
      <c r="I14" s="243" t="s">
        <v>222</v>
      </c>
      <c r="J14" s="244" t="s">
        <v>223</v>
      </c>
      <c r="K14" s="253" t="s">
        <v>276</v>
      </c>
      <c r="L14" s="233"/>
      <c r="M14" s="293"/>
    </row>
    <row r="15" ht="15.75" customHeight="1">
      <c r="B15" s="241"/>
      <c r="C15" s="242"/>
      <c r="D15" s="243"/>
      <c r="E15" s="243"/>
      <c r="F15" s="243"/>
      <c r="G15" s="243"/>
      <c r="H15" s="243"/>
      <c r="I15" s="243"/>
      <c r="J15" s="243"/>
      <c r="K15" s="243"/>
      <c r="L15" s="233"/>
      <c r="M15" s="293"/>
    </row>
    <row r="16" ht="15.75" customHeight="1">
      <c r="B16" s="218"/>
      <c r="C16" s="242" t="s">
        <v>239</v>
      </c>
      <c r="D16" s="253" t="s">
        <v>277</v>
      </c>
      <c r="E16" s="244">
        <v>56.0</v>
      </c>
      <c r="F16" s="243">
        <v>0.125</v>
      </c>
      <c r="G16" s="243" t="s">
        <v>221</v>
      </c>
      <c r="H16" s="244" t="s">
        <v>20</v>
      </c>
      <c r="I16" s="243" t="s">
        <v>222</v>
      </c>
      <c r="J16" s="244" t="s">
        <v>223</v>
      </c>
      <c r="K16" s="253" t="s">
        <v>278</v>
      </c>
      <c r="L16" s="233"/>
      <c r="M16" s="293"/>
    </row>
    <row r="17" ht="22.5" customHeight="1">
      <c r="B17" s="257"/>
      <c r="C17" s="258"/>
      <c r="D17" s="259"/>
      <c r="E17" s="259"/>
      <c r="F17" s="259"/>
      <c r="G17" s="259"/>
      <c r="H17" s="259"/>
      <c r="I17" s="259"/>
      <c r="J17" s="259"/>
      <c r="K17" s="259"/>
      <c r="L17" s="259"/>
      <c r="M17" s="294"/>
      <c r="P17" s="118" t="s">
        <v>279</v>
      </c>
    </row>
    <row r="18" ht="15.75" customHeight="1">
      <c r="C18" s="262"/>
      <c r="D18" s="263"/>
      <c r="E18" s="263"/>
      <c r="F18" s="263"/>
      <c r="G18" s="263"/>
      <c r="H18" s="263"/>
      <c r="I18" s="263"/>
      <c r="J18" s="263"/>
      <c r="K18" s="263"/>
      <c r="L18" s="263"/>
      <c r="M18" s="263"/>
      <c r="O18" s="306"/>
      <c r="P18" s="307"/>
      <c r="Q18" s="308" t="s">
        <v>280</v>
      </c>
      <c r="R18" s="309" t="s">
        <v>281</v>
      </c>
    </row>
    <row r="19" ht="15.75" customHeight="1">
      <c r="B19" s="310" t="s">
        <v>282</v>
      </c>
      <c r="C19" s="203"/>
      <c r="D19" s="204"/>
      <c r="E19" s="205"/>
      <c r="F19" s="205"/>
      <c r="G19" s="205"/>
      <c r="H19" s="205"/>
      <c r="I19" s="205"/>
      <c r="J19" s="205"/>
      <c r="K19" s="205"/>
      <c r="L19" s="206"/>
      <c r="M19" s="291"/>
      <c r="O19" s="311" t="s">
        <v>283</v>
      </c>
      <c r="P19" s="312" t="s">
        <v>284</v>
      </c>
      <c r="Q19" s="312" t="s">
        <v>285</v>
      </c>
      <c r="R19" s="313" t="s">
        <v>286</v>
      </c>
    </row>
    <row r="20" ht="15.75" customHeight="1">
      <c r="B20" s="210"/>
      <c r="C20" s="211"/>
      <c r="D20" s="212"/>
      <c r="E20" s="213"/>
      <c r="F20" s="213"/>
      <c r="G20" s="213"/>
      <c r="H20" s="213"/>
      <c r="I20" s="213"/>
      <c r="J20" s="213"/>
      <c r="K20" s="213"/>
      <c r="L20" s="213"/>
      <c r="M20" s="214"/>
      <c r="O20" s="314">
        <v>43473.0</v>
      </c>
      <c r="P20" s="315">
        <v>0.065</v>
      </c>
      <c r="Q20" s="315">
        <v>0.01</v>
      </c>
      <c r="R20" s="316">
        <f>3.14*0.125*0.125</f>
        <v>0.0490625</v>
      </c>
    </row>
    <row r="21" ht="15.75" customHeight="1">
      <c r="B21" s="218"/>
      <c r="C21" s="219" t="s">
        <v>155</v>
      </c>
      <c r="D21" s="220" t="s">
        <v>156</v>
      </c>
      <c r="E21" s="221" t="s">
        <v>157</v>
      </c>
      <c r="F21" s="222" t="s">
        <v>205</v>
      </c>
      <c r="G21" s="221" t="s">
        <v>206</v>
      </c>
      <c r="H21" s="221" t="s">
        <v>207</v>
      </c>
      <c r="I21" s="221" t="s">
        <v>208</v>
      </c>
      <c r="J21" s="223" t="s">
        <v>270</v>
      </c>
      <c r="K21" s="224" t="s">
        <v>47</v>
      </c>
      <c r="L21" s="225" t="s">
        <v>212</v>
      </c>
      <c r="M21" s="292" t="s">
        <v>214</v>
      </c>
      <c r="O21" s="314">
        <v>43540.0</v>
      </c>
      <c r="P21" s="315">
        <v>0.128</v>
      </c>
      <c r="Q21" s="315">
        <v>0.05</v>
      </c>
      <c r="R21" s="316">
        <f>3.14*0.1875*0.1875</f>
        <v>0.110390625</v>
      </c>
    </row>
    <row r="22" ht="15.75" customHeight="1">
      <c r="B22" s="230"/>
      <c r="C22" s="231"/>
      <c r="D22" s="232"/>
      <c r="E22" s="233"/>
      <c r="F22" s="223" t="s">
        <v>287</v>
      </c>
      <c r="G22" s="233"/>
      <c r="H22" s="233"/>
      <c r="I22" s="224"/>
      <c r="J22" s="234"/>
      <c r="K22" s="234"/>
      <c r="L22" s="233"/>
      <c r="M22" s="293"/>
      <c r="O22" s="314">
        <v>43469.0</v>
      </c>
      <c r="P22" s="315">
        <v>0.19</v>
      </c>
      <c r="Q22" s="315">
        <v>0.11</v>
      </c>
      <c r="R22" s="316">
        <f>3.14*0.25*0.25</f>
        <v>0.19625</v>
      </c>
    </row>
    <row r="23" ht="15.75" customHeight="1">
      <c r="B23" s="241"/>
      <c r="C23" s="253" t="s">
        <v>288</v>
      </c>
      <c r="D23" s="244" t="s">
        <v>289</v>
      </c>
      <c r="E23" s="244">
        <v>64.0</v>
      </c>
      <c r="F23" s="244" t="s">
        <v>290</v>
      </c>
      <c r="G23" s="243" t="s">
        <v>221</v>
      </c>
      <c r="H23" s="244" t="s">
        <v>20</v>
      </c>
      <c r="I23" s="243" t="s">
        <v>222</v>
      </c>
      <c r="J23" s="244" t="s">
        <v>291</v>
      </c>
      <c r="K23" s="253" t="s">
        <v>292</v>
      </c>
      <c r="L23" s="317" t="s">
        <v>293</v>
      </c>
      <c r="M23" s="293"/>
      <c r="O23" s="314">
        <v>43601.0</v>
      </c>
      <c r="P23" s="315">
        <v>0.248</v>
      </c>
      <c r="Q23" s="315">
        <v>0.19</v>
      </c>
      <c r="R23" s="316">
        <f>3.14*0.3125*0.3125</f>
        <v>0.306640625</v>
      </c>
    </row>
    <row r="24" ht="15.75" customHeight="1">
      <c r="B24" s="241"/>
      <c r="C24" s="242"/>
      <c r="D24" s="243"/>
      <c r="E24" s="243"/>
      <c r="F24" s="243"/>
      <c r="G24" s="243"/>
      <c r="H24" s="243"/>
      <c r="I24" s="243"/>
      <c r="J24" s="243"/>
      <c r="K24" s="243"/>
      <c r="M24" s="293"/>
      <c r="O24" s="314">
        <v>43532.0</v>
      </c>
      <c r="P24" s="315">
        <v>0.311</v>
      </c>
      <c r="Q24" s="315">
        <v>0.3</v>
      </c>
      <c r="R24" s="316">
        <f>3.14*0.375*0.375</f>
        <v>0.4415625</v>
      </c>
    </row>
    <row r="25" ht="15.75" customHeight="1">
      <c r="B25" s="241"/>
      <c r="C25" s="253" t="s">
        <v>294</v>
      </c>
      <c r="D25" s="244" t="s">
        <v>295</v>
      </c>
      <c r="E25" s="244">
        <v>64.0</v>
      </c>
      <c r="F25" s="244" t="s">
        <v>290</v>
      </c>
      <c r="G25" s="243" t="s">
        <v>221</v>
      </c>
      <c r="H25" s="244" t="s">
        <v>20</v>
      </c>
      <c r="I25" s="243" t="s">
        <v>222</v>
      </c>
      <c r="J25" s="244" t="s">
        <v>291</v>
      </c>
      <c r="K25" s="253" t="s">
        <v>296</v>
      </c>
      <c r="M25" s="293"/>
      <c r="O25" s="318">
        <v>43467.0</v>
      </c>
      <c r="P25" s="319">
        <v>0.436</v>
      </c>
      <c r="Q25" s="319">
        <v>0.6</v>
      </c>
      <c r="R25" s="320">
        <f>3.14*0.5*0.5</f>
        <v>0.785</v>
      </c>
    </row>
    <row r="26" ht="15.75" customHeight="1">
      <c r="B26" s="241"/>
      <c r="C26" s="242"/>
      <c r="D26" s="243"/>
      <c r="E26" s="243"/>
      <c r="F26" s="243"/>
      <c r="G26" s="243"/>
      <c r="H26" s="243"/>
      <c r="I26" s="243"/>
      <c r="J26" s="243"/>
      <c r="K26" s="243"/>
      <c r="M26" s="293"/>
      <c r="O26" s="314">
        <v>43593.0</v>
      </c>
      <c r="P26" s="315">
        <v>0.555</v>
      </c>
      <c r="Q26" s="315">
        <v>0.97</v>
      </c>
      <c r="R26" s="316">
        <f>3.14*0.625*0.625</f>
        <v>1.2265625</v>
      </c>
    </row>
    <row r="27" ht="15.75" customHeight="1">
      <c r="B27" s="241"/>
      <c r="C27" s="253" t="s">
        <v>297</v>
      </c>
      <c r="D27" s="253" t="s">
        <v>298</v>
      </c>
      <c r="E27" s="244">
        <v>32.0</v>
      </c>
      <c r="F27" s="244" t="s">
        <v>299</v>
      </c>
      <c r="G27" s="243" t="s">
        <v>221</v>
      </c>
      <c r="H27" s="244" t="s">
        <v>20</v>
      </c>
      <c r="I27" s="243" t="s">
        <v>222</v>
      </c>
      <c r="J27" s="244" t="s">
        <v>291</v>
      </c>
      <c r="K27" s="253" t="s">
        <v>300</v>
      </c>
      <c r="M27" s="293"/>
      <c r="O27" s="314">
        <v>43528.0</v>
      </c>
      <c r="P27" s="315">
        <v>0.686</v>
      </c>
      <c r="Q27" s="315">
        <v>1.48</v>
      </c>
      <c r="R27" s="316">
        <f>3.14*0.75*0.75</f>
        <v>1.76625</v>
      </c>
    </row>
    <row r="28" ht="15.75" customHeight="1">
      <c r="B28" s="241"/>
      <c r="C28" s="242"/>
      <c r="D28" s="243"/>
      <c r="E28" s="243"/>
      <c r="F28" s="243"/>
      <c r="G28" s="243"/>
      <c r="H28" s="243"/>
      <c r="I28" s="243"/>
      <c r="J28" s="243"/>
      <c r="K28" s="243"/>
      <c r="M28" s="293"/>
      <c r="O28" s="314">
        <v>43654.0</v>
      </c>
      <c r="P28" s="315">
        <v>0.811</v>
      </c>
      <c r="Q28" s="315">
        <v>2.07</v>
      </c>
      <c r="R28" s="316">
        <f>3.14*0.875*0.875</f>
        <v>2.4040625</v>
      </c>
    </row>
    <row r="29" ht="15.75" customHeight="1">
      <c r="B29" s="241"/>
      <c r="C29" s="253" t="s">
        <v>301</v>
      </c>
      <c r="D29" s="253" t="s">
        <v>302</v>
      </c>
      <c r="E29" s="244">
        <v>32.0</v>
      </c>
      <c r="F29" s="321">
        <v>43967.0</v>
      </c>
      <c r="G29" s="243" t="s">
        <v>221</v>
      </c>
      <c r="H29" s="244" t="s">
        <v>20</v>
      </c>
      <c r="I29" s="243" t="s">
        <v>222</v>
      </c>
      <c r="J29" s="244" t="s">
        <v>291</v>
      </c>
      <c r="K29" s="253" t="s">
        <v>303</v>
      </c>
      <c r="M29" s="293"/>
      <c r="O29" s="322">
        <v>1.0</v>
      </c>
      <c r="P29" s="323">
        <v>0.936</v>
      </c>
      <c r="Q29" s="323">
        <v>2.75</v>
      </c>
      <c r="R29" s="324">
        <f>3.14</f>
        <v>3.14</v>
      </c>
    </row>
    <row r="30" ht="15.75" customHeight="1">
      <c r="B30" s="241"/>
      <c r="C30" s="242"/>
      <c r="D30" s="243"/>
      <c r="E30" s="243"/>
      <c r="F30" s="243"/>
      <c r="G30" s="243"/>
      <c r="H30" s="243"/>
      <c r="I30" s="243"/>
      <c r="J30" s="243"/>
      <c r="K30" s="243"/>
      <c r="M30" s="293"/>
      <c r="O30" s="325"/>
      <c r="P30" s="315"/>
      <c r="Q30" s="315"/>
      <c r="R30" s="326"/>
    </row>
    <row r="31" ht="15.75" customHeight="1">
      <c r="B31" s="241"/>
      <c r="C31" s="242"/>
      <c r="D31" s="243"/>
      <c r="E31" s="243"/>
      <c r="F31" s="243"/>
      <c r="G31" s="243"/>
      <c r="H31" s="243"/>
      <c r="I31" s="243"/>
      <c r="J31" s="243"/>
      <c r="K31" s="243"/>
      <c r="L31" s="233"/>
      <c r="M31" s="293"/>
    </row>
    <row r="32" ht="15.75" customHeight="1">
      <c r="B32" s="241"/>
      <c r="C32" s="253" t="s">
        <v>304</v>
      </c>
      <c r="D32" s="244" t="s">
        <v>305</v>
      </c>
      <c r="E32" s="244">
        <v>64.0</v>
      </c>
      <c r="F32" s="244" t="s">
        <v>290</v>
      </c>
      <c r="G32" s="243" t="s">
        <v>221</v>
      </c>
      <c r="H32" s="244" t="s">
        <v>20</v>
      </c>
      <c r="I32" s="243" t="s">
        <v>222</v>
      </c>
      <c r="J32" s="244" t="s">
        <v>291</v>
      </c>
      <c r="K32" s="253" t="s">
        <v>306</v>
      </c>
      <c r="L32" s="233"/>
      <c r="M32" s="293"/>
    </row>
    <row r="33" ht="15.75" customHeight="1">
      <c r="B33" s="241"/>
      <c r="C33" s="242"/>
      <c r="D33" s="243"/>
      <c r="E33" s="243"/>
      <c r="F33" s="243"/>
      <c r="G33" s="243"/>
      <c r="H33" s="243"/>
      <c r="I33" s="243"/>
      <c r="J33" s="243"/>
      <c r="K33" s="243"/>
      <c r="L33" s="233"/>
      <c r="M33" s="293"/>
    </row>
    <row r="34" ht="15.75" customHeight="1">
      <c r="B34" s="218"/>
      <c r="C34" s="253" t="s">
        <v>307</v>
      </c>
      <c r="D34" s="253" t="s">
        <v>308</v>
      </c>
      <c r="E34" s="244">
        <v>64.0</v>
      </c>
      <c r="F34" s="244" t="s">
        <v>290</v>
      </c>
      <c r="G34" s="243" t="s">
        <v>221</v>
      </c>
      <c r="H34" s="244" t="s">
        <v>20</v>
      </c>
      <c r="I34" s="243" t="s">
        <v>222</v>
      </c>
      <c r="J34" s="244" t="s">
        <v>291</v>
      </c>
      <c r="K34" s="253" t="s">
        <v>309</v>
      </c>
      <c r="L34" s="233"/>
      <c r="M34" s="293"/>
    </row>
    <row r="35" ht="22.5" customHeight="1">
      <c r="B35" s="257"/>
      <c r="C35" s="327" t="s">
        <v>310</v>
      </c>
      <c r="D35" s="328" t="s">
        <v>311</v>
      </c>
      <c r="E35" s="328">
        <v>64.0</v>
      </c>
      <c r="F35" s="329">
        <v>43469.0</v>
      </c>
      <c r="G35" s="328" t="s">
        <v>221</v>
      </c>
      <c r="H35" s="328" t="s">
        <v>20</v>
      </c>
      <c r="I35" s="328" t="s">
        <v>312</v>
      </c>
      <c r="J35" s="328" t="s">
        <v>291</v>
      </c>
      <c r="K35" s="328" t="s">
        <v>313</v>
      </c>
      <c r="L35" s="259"/>
      <c r="M35" s="294"/>
    </row>
    <row r="36" ht="15.75" customHeight="1">
      <c r="B36" s="330"/>
      <c r="C36" s="290"/>
      <c r="D36" s="290"/>
      <c r="E36" s="290"/>
      <c r="F36" s="290"/>
      <c r="G36" s="290"/>
      <c r="H36" s="290"/>
      <c r="I36" s="263"/>
      <c r="J36" s="331"/>
      <c r="K36" s="290"/>
      <c r="L36" s="290"/>
      <c r="M36" s="290"/>
      <c r="N36" s="263"/>
      <c r="O36" s="263"/>
      <c r="P36" s="263"/>
    </row>
    <row r="37" ht="36.75" customHeight="1">
      <c r="B37" s="330"/>
      <c r="C37" s="290"/>
      <c r="D37" s="290"/>
      <c r="E37" s="290"/>
      <c r="F37" s="290"/>
      <c r="G37" s="290"/>
      <c r="H37" s="290"/>
      <c r="I37" s="263"/>
      <c r="J37" s="331"/>
      <c r="K37" s="290"/>
      <c r="L37" s="290"/>
      <c r="M37" s="290"/>
      <c r="N37" s="263"/>
      <c r="O37" s="263"/>
      <c r="P37" s="263"/>
    </row>
    <row r="38" ht="15.75" customHeight="1">
      <c r="B38" s="264" t="s">
        <v>242</v>
      </c>
      <c r="C38" s="206"/>
      <c r="D38" s="206"/>
      <c r="E38" s="206"/>
      <c r="F38" s="206"/>
      <c r="G38" s="206"/>
      <c r="H38" s="291"/>
      <c r="I38" s="263"/>
      <c r="J38" s="332" t="s">
        <v>314</v>
      </c>
      <c r="K38" s="333" t="s">
        <v>315</v>
      </c>
      <c r="L38" s="24"/>
      <c r="M38" s="24"/>
      <c r="N38" s="24"/>
      <c r="O38" s="24"/>
      <c r="P38" s="25"/>
    </row>
    <row r="39" ht="15.75" customHeight="1">
      <c r="B39" s="265"/>
      <c r="C39" s="262"/>
      <c r="D39" s="263"/>
      <c r="E39" s="263"/>
      <c r="F39" s="263"/>
      <c r="G39" s="263"/>
      <c r="H39" s="296"/>
      <c r="I39" s="263"/>
      <c r="J39" s="265"/>
      <c r="K39" s="262"/>
      <c r="L39" s="263"/>
      <c r="M39" s="263"/>
      <c r="N39" s="263"/>
      <c r="O39" s="263"/>
      <c r="P39" s="296"/>
    </row>
    <row r="40" ht="15.75" customHeight="1">
      <c r="B40" s="265"/>
      <c r="C40" s="266" t="s">
        <v>243</v>
      </c>
      <c r="D40" s="267" t="s">
        <v>244</v>
      </c>
      <c r="E40" s="267" t="s">
        <v>206</v>
      </c>
      <c r="F40" s="267" t="s">
        <v>245</v>
      </c>
      <c r="G40" s="297" t="s">
        <v>246</v>
      </c>
      <c r="H40" s="296"/>
      <c r="I40" s="263"/>
      <c r="J40" s="265"/>
      <c r="K40" s="334" t="s">
        <v>243</v>
      </c>
      <c r="L40" s="335" t="s">
        <v>244</v>
      </c>
      <c r="M40" s="118" t="s">
        <v>316</v>
      </c>
      <c r="N40" s="335" t="s">
        <v>206</v>
      </c>
      <c r="O40" s="335" t="s">
        <v>245</v>
      </c>
      <c r="P40" s="336" t="s">
        <v>246</v>
      </c>
    </row>
    <row r="41" ht="15.75" customHeight="1">
      <c r="B41" s="265"/>
      <c r="C41" s="269" t="s">
        <v>317</v>
      </c>
      <c r="D41" s="270">
        <f>(E10/4)*3.14*POWER(F10/2,2)</f>
        <v>12.56</v>
      </c>
      <c r="E41" s="270" t="s">
        <v>248</v>
      </c>
      <c r="F41" s="270" t="s">
        <v>249</v>
      </c>
      <c r="G41" s="337" t="s">
        <v>318</v>
      </c>
      <c r="H41" s="296"/>
      <c r="I41" s="263"/>
      <c r="J41" s="265"/>
      <c r="K41" s="338" t="s">
        <v>319</v>
      </c>
      <c r="L41" s="263"/>
      <c r="N41" s="263"/>
      <c r="O41" s="263"/>
      <c r="P41" s="295"/>
    </row>
    <row r="42" ht="15.75" customHeight="1">
      <c r="B42" s="265"/>
      <c r="C42" s="269" t="s">
        <v>320</v>
      </c>
      <c r="D42" s="270">
        <f>(E10/4)*3.14*POWER(F10/2,2)</f>
        <v>12.56</v>
      </c>
      <c r="E42" s="270" t="s">
        <v>248</v>
      </c>
      <c r="F42" s="270" t="s">
        <v>249</v>
      </c>
      <c r="G42" s="337" t="s">
        <v>321</v>
      </c>
      <c r="H42" s="296"/>
      <c r="I42" s="263"/>
      <c r="J42" s="265"/>
      <c r="K42" s="339" t="s">
        <v>288</v>
      </c>
      <c r="L42" s="340">
        <v>0.785</v>
      </c>
      <c r="N42" s="341" t="s">
        <v>248</v>
      </c>
      <c r="O42" s="341" t="s">
        <v>249</v>
      </c>
      <c r="P42" s="340" t="s">
        <v>322</v>
      </c>
    </row>
    <row r="43" ht="15.75" customHeight="1">
      <c r="B43" s="265"/>
      <c r="C43" s="269" t="s">
        <v>323</v>
      </c>
      <c r="D43" s="270">
        <f>(E10/4)*3.14*POWER(F10/2,2)</f>
        <v>12.56</v>
      </c>
      <c r="E43" s="270" t="s">
        <v>248</v>
      </c>
      <c r="F43" s="270" t="s">
        <v>249</v>
      </c>
      <c r="G43" s="298" t="s">
        <v>324</v>
      </c>
      <c r="H43" s="296"/>
      <c r="I43" s="263"/>
      <c r="J43" s="265"/>
      <c r="K43" s="339" t="s">
        <v>325</v>
      </c>
      <c r="L43" s="340">
        <v>0.785</v>
      </c>
      <c r="N43" s="341" t="s">
        <v>248</v>
      </c>
      <c r="O43" s="341" t="s">
        <v>249</v>
      </c>
      <c r="P43" s="340" t="s">
        <v>322</v>
      </c>
    </row>
    <row r="44" ht="15.75" customHeight="1">
      <c r="B44" s="265"/>
      <c r="C44" s="269" t="s">
        <v>326</v>
      </c>
      <c r="D44" s="270">
        <f>(E10/4)*3.14*POWER(F10/2,2)</f>
        <v>12.56</v>
      </c>
      <c r="E44" s="270" t="s">
        <v>248</v>
      </c>
      <c r="F44" s="270" t="s">
        <v>249</v>
      </c>
      <c r="G44" s="298" t="s">
        <v>327</v>
      </c>
      <c r="H44" s="296"/>
      <c r="I44" s="263"/>
      <c r="J44" s="265"/>
      <c r="K44" s="339" t="s">
        <v>304</v>
      </c>
      <c r="L44" s="340">
        <v>0.785</v>
      </c>
      <c r="N44" s="341" t="s">
        <v>248</v>
      </c>
      <c r="O44" s="341" t="s">
        <v>249</v>
      </c>
      <c r="P44" s="340" t="s">
        <v>322</v>
      </c>
    </row>
    <row r="45" ht="15.75" customHeight="1">
      <c r="B45" s="265"/>
      <c r="C45" s="272" t="s">
        <v>328</v>
      </c>
      <c r="D45" s="273">
        <f>(E14/4)*3.14*POWER(F14/2,2)</f>
        <v>10.942272</v>
      </c>
      <c r="E45" s="273" t="s">
        <v>248</v>
      </c>
      <c r="F45" s="273" t="s">
        <v>249</v>
      </c>
      <c r="G45" s="303" t="s">
        <v>318</v>
      </c>
      <c r="H45" s="296"/>
      <c r="I45" s="263"/>
      <c r="J45" s="265"/>
      <c r="K45" s="339" t="s">
        <v>307</v>
      </c>
      <c r="L45" s="340">
        <v>0.785</v>
      </c>
      <c r="N45" s="341" t="s">
        <v>248</v>
      </c>
      <c r="O45" s="341" t="s">
        <v>249</v>
      </c>
      <c r="P45" s="340" t="s">
        <v>322</v>
      </c>
    </row>
    <row r="46" ht="15.75" customHeight="1">
      <c r="B46" s="265"/>
      <c r="C46" s="342" t="s">
        <v>329</v>
      </c>
      <c r="D46" s="282">
        <f>(E14/4)*3.14*POWER(F14/2,2)</f>
        <v>10.942272</v>
      </c>
      <c r="E46" s="282" t="s">
        <v>248</v>
      </c>
      <c r="F46" s="282" t="s">
        <v>249</v>
      </c>
      <c r="G46" s="343" t="s">
        <v>321</v>
      </c>
      <c r="H46" s="296"/>
      <c r="I46" s="263"/>
      <c r="K46" s="344" t="s">
        <v>297</v>
      </c>
      <c r="L46" s="345">
        <v>0.307</v>
      </c>
      <c r="N46" s="341" t="s">
        <v>248</v>
      </c>
      <c r="O46" s="341" t="s">
        <v>249</v>
      </c>
      <c r="P46" s="340" t="s">
        <v>322</v>
      </c>
    </row>
    <row r="47" ht="15.75" customHeight="1">
      <c r="B47" s="265"/>
      <c r="C47" s="342" t="s">
        <v>330</v>
      </c>
      <c r="D47" s="282">
        <f>(E14/4)*3.14*POWER(F14/2,2)</f>
        <v>10.942272</v>
      </c>
      <c r="E47" s="282" t="s">
        <v>248</v>
      </c>
      <c r="F47" s="282" t="s">
        <v>249</v>
      </c>
      <c r="G47" s="302" t="s">
        <v>324</v>
      </c>
      <c r="H47" s="296"/>
      <c r="I47" s="263"/>
      <c r="K47" s="344" t="s">
        <v>331</v>
      </c>
      <c r="L47" s="345">
        <v>0.307</v>
      </c>
      <c r="N47" s="341" t="s">
        <v>248</v>
      </c>
      <c r="O47" s="341" t="s">
        <v>249</v>
      </c>
      <c r="P47" s="340" t="s">
        <v>322</v>
      </c>
    </row>
    <row r="48" ht="15.75" customHeight="1">
      <c r="B48" s="265"/>
      <c r="C48" s="275" t="s">
        <v>332</v>
      </c>
      <c r="D48" s="346">
        <f>(E14/4)*3.14*POWER(F14/2,2)</f>
        <v>10.942272</v>
      </c>
      <c r="E48" s="276" t="s">
        <v>248</v>
      </c>
      <c r="F48" s="276" t="s">
        <v>249</v>
      </c>
      <c r="G48" s="300" t="s">
        <v>327</v>
      </c>
      <c r="H48" s="296"/>
      <c r="I48" s="263"/>
      <c r="K48" s="347" t="s">
        <v>333</v>
      </c>
      <c r="L48" s="348">
        <f>3.14*0.25*0.25</f>
        <v>0.19625</v>
      </c>
      <c r="N48" s="341" t="s">
        <v>248</v>
      </c>
      <c r="O48" s="341" t="s">
        <v>249</v>
      </c>
      <c r="P48" s="340" t="s">
        <v>322</v>
      </c>
    </row>
    <row r="49" ht="15.75" customHeight="1">
      <c r="B49" s="265"/>
      <c r="C49" s="349" t="s">
        <v>334</v>
      </c>
      <c r="D49" s="350">
        <f>192*3.14*POWER(F12/2,2)</f>
        <v>37.68</v>
      </c>
      <c r="E49" s="351" t="s">
        <v>248</v>
      </c>
      <c r="F49" s="273" t="s">
        <v>249</v>
      </c>
      <c r="G49" s="303" t="s">
        <v>335</v>
      </c>
      <c r="H49" s="296"/>
      <c r="I49" s="263"/>
      <c r="J49" s="265"/>
      <c r="K49" s="338" t="s">
        <v>336</v>
      </c>
      <c r="N49" s="263"/>
      <c r="O49" s="263"/>
      <c r="P49" s="295"/>
    </row>
    <row r="50" ht="15.75" customHeight="1">
      <c r="B50" s="265"/>
      <c r="C50" s="352" t="s">
        <v>337</v>
      </c>
      <c r="D50" s="353">
        <f>192*3.14*POWER(F12/2,2)</f>
        <v>37.68</v>
      </c>
      <c r="E50" s="354" t="s">
        <v>248</v>
      </c>
      <c r="F50" s="282" t="s">
        <v>249</v>
      </c>
      <c r="G50" s="343" t="s">
        <v>338</v>
      </c>
      <c r="H50" s="296"/>
      <c r="I50" s="263"/>
      <c r="J50" s="265"/>
      <c r="K50" s="355" t="s">
        <v>339</v>
      </c>
      <c r="L50" s="356">
        <f>(3*(1/2))^2</f>
        <v>2.25</v>
      </c>
      <c r="M50" s="118">
        <v>2.06</v>
      </c>
      <c r="N50" s="353" t="s">
        <v>248</v>
      </c>
      <c r="O50" s="353" t="s">
        <v>249</v>
      </c>
      <c r="P50" s="340" t="s">
        <v>322</v>
      </c>
    </row>
    <row r="51" ht="15.75" customHeight="1">
      <c r="B51" s="265"/>
      <c r="C51" s="352" t="s">
        <v>340</v>
      </c>
      <c r="D51" s="353">
        <f>192*3.14*POWER(F12/2,2)</f>
        <v>37.68</v>
      </c>
      <c r="E51" s="354" t="s">
        <v>248</v>
      </c>
      <c r="F51" s="282" t="s">
        <v>249</v>
      </c>
      <c r="G51" s="343" t="s">
        <v>341</v>
      </c>
      <c r="H51" s="296"/>
      <c r="I51" s="263"/>
      <c r="J51" s="265"/>
      <c r="K51" s="355" t="s">
        <v>342</v>
      </c>
      <c r="L51" s="356">
        <f>L50+1.5</f>
        <v>3.75</v>
      </c>
      <c r="N51" s="353" t="s">
        <v>248</v>
      </c>
      <c r="O51" s="353" t="s">
        <v>249</v>
      </c>
      <c r="P51" s="340" t="s">
        <v>322</v>
      </c>
    </row>
    <row r="52" ht="15.75" customHeight="1">
      <c r="B52" s="265"/>
      <c r="C52" s="352" t="s">
        <v>343</v>
      </c>
      <c r="D52" s="353">
        <f>192*3.14*POWER(F12/2,2)</f>
        <v>37.68</v>
      </c>
      <c r="E52" s="354" t="s">
        <v>248</v>
      </c>
      <c r="F52" s="282" t="s">
        <v>249</v>
      </c>
      <c r="G52" s="343" t="s">
        <v>344</v>
      </c>
      <c r="H52" s="296"/>
      <c r="I52" s="263"/>
      <c r="J52" s="265"/>
      <c r="K52" s="355" t="s">
        <v>345</v>
      </c>
      <c r="L52" s="356">
        <f>(3*(1/2))^2</f>
        <v>2.25</v>
      </c>
      <c r="M52" s="118">
        <v>2.06</v>
      </c>
      <c r="N52" s="353" t="s">
        <v>248</v>
      </c>
      <c r="O52" s="353" t="s">
        <v>249</v>
      </c>
      <c r="P52" s="340" t="s">
        <v>322</v>
      </c>
      <c r="T52" s="118" t="s">
        <v>280</v>
      </c>
      <c r="U52" s="118" t="s">
        <v>281</v>
      </c>
    </row>
    <row r="53" ht="15.75" customHeight="1">
      <c r="B53" s="265"/>
      <c r="C53" s="352" t="s">
        <v>346</v>
      </c>
      <c r="D53" s="353">
        <f>192*3.14*POWER(F12/2,2)</f>
        <v>37.68</v>
      </c>
      <c r="E53" s="354" t="s">
        <v>248</v>
      </c>
      <c r="F53" s="282" t="s">
        <v>249</v>
      </c>
      <c r="G53" s="343" t="s">
        <v>347</v>
      </c>
      <c r="H53" s="296"/>
      <c r="I53" s="263"/>
      <c r="J53" s="265"/>
      <c r="K53" s="355" t="s">
        <v>348</v>
      </c>
      <c r="L53" s="356">
        <f>L52+2</f>
        <v>4.25</v>
      </c>
      <c r="N53" s="353" t="s">
        <v>248</v>
      </c>
      <c r="O53" s="353" t="s">
        <v>249</v>
      </c>
      <c r="P53" s="340" t="s">
        <v>322</v>
      </c>
      <c r="R53" s="312" t="s">
        <v>283</v>
      </c>
      <c r="S53" s="312" t="s">
        <v>284</v>
      </c>
      <c r="T53" s="312" t="s">
        <v>285</v>
      </c>
      <c r="U53" s="118" t="s">
        <v>286</v>
      </c>
    </row>
    <row r="54" ht="15.75" customHeight="1">
      <c r="B54" s="265"/>
      <c r="C54" s="352" t="s">
        <v>349</v>
      </c>
      <c r="D54" s="353">
        <f>192*3.14*POWER(F12/2,2)</f>
        <v>37.68</v>
      </c>
      <c r="E54" s="354" t="s">
        <v>248</v>
      </c>
      <c r="F54" s="282" t="s">
        <v>249</v>
      </c>
      <c r="G54" s="343" t="s">
        <v>350</v>
      </c>
      <c r="H54" s="296"/>
      <c r="I54" s="263"/>
      <c r="K54" s="355" t="s">
        <v>351</v>
      </c>
      <c r="L54" s="356">
        <f>(2*(5/16))^2</f>
        <v>0.390625</v>
      </c>
      <c r="N54" s="353" t="s">
        <v>248</v>
      </c>
      <c r="O54" s="353" t="s">
        <v>249</v>
      </c>
      <c r="P54" s="340" t="s">
        <v>322</v>
      </c>
      <c r="R54" s="325">
        <v>43473.0</v>
      </c>
      <c r="S54" s="315">
        <v>0.065</v>
      </c>
      <c r="T54" s="315">
        <v>0.01</v>
      </c>
      <c r="U54" s="326">
        <f>3.14*0.125*0.125</f>
        <v>0.0490625</v>
      </c>
    </row>
    <row r="55" ht="15.75" customHeight="1">
      <c r="B55" s="265"/>
      <c r="C55" s="352" t="s">
        <v>352</v>
      </c>
      <c r="D55" s="353">
        <f>192*3.14*POWER(F12/2,2)</f>
        <v>37.68</v>
      </c>
      <c r="E55" s="354" t="s">
        <v>248</v>
      </c>
      <c r="F55" s="282" t="s">
        <v>249</v>
      </c>
      <c r="G55" s="343" t="s">
        <v>353</v>
      </c>
      <c r="H55" s="296"/>
      <c r="I55" s="263"/>
      <c r="K55" s="355" t="s">
        <v>354</v>
      </c>
      <c r="L55" s="357">
        <f>L54+1.5</f>
        <v>1.890625</v>
      </c>
      <c r="N55" s="353" t="s">
        <v>248</v>
      </c>
      <c r="O55" s="353" t="s">
        <v>249</v>
      </c>
      <c r="P55" s="340" t="s">
        <v>322</v>
      </c>
      <c r="R55" s="325">
        <v>43540.0</v>
      </c>
      <c r="S55" s="315">
        <v>0.128</v>
      </c>
      <c r="T55" s="315">
        <v>0.05</v>
      </c>
      <c r="U55" s="326">
        <f>3.14*0.1875*0.1875</f>
        <v>0.110390625</v>
      </c>
    </row>
    <row r="56" ht="15.75" customHeight="1">
      <c r="B56" s="265"/>
      <c r="C56" s="358" t="s">
        <v>355</v>
      </c>
      <c r="D56" s="359">
        <f>192*3.14*POWER(F12/2,2)</f>
        <v>37.68</v>
      </c>
      <c r="E56" s="360" t="s">
        <v>248</v>
      </c>
      <c r="F56" s="282" t="s">
        <v>249</v>
      </c>
      <c r="G56" s="343" t="s">
        <v>356</v>
      </c>
      <c r="H56" s="296"/>
      <c r="I56" s="263"/>
      <c r="K56" s="118" t="s">
        <v>357</v>
      </c>
      <c r="L56" s="356">
        <f>(3*(1/4))^2</f>
        <v>0.5625</v>
      </c>
      <c r="M56" s="118">
        <v>0.066</v>
      </c>
      <c r="N56" s="353" t="s">
        <v>248</v>
      </c>
      <c r="O56" s="353" t="s">
        <v>249</v>
      </c>
      <c r="P56" s="340" t="s">
        <v>322</v>
      </c>
      <c r="R56" s="325">
        <v>43469.0</v>
      </c>
      <c r="S56" s="315">
        <v>0.19</v>
      </c>
      <c r="T56" s="315">
        <v>0.11</v>
      </c>
      <c r="U56" s="326">
        <f>3.14*0.25*0.25</f>
        <v>0.19625</v>
      </c>
    </row>
    <row r="57" ht="15.75" customHeight="1">
      <c r="B57" s="265"/>
      <c r="C57" s="272" t="s">
        <v>358</v>
      </c>
      <c r="D57" s="361">
        <f>7*3.14*POWER(F16/2,2)</f>
        <v>0.085859375</v>
      </c>
      <c r="E57" s="282" t="s">
        <v>248</v>
      </c>
      <c r="F57" s="273" t="s">
        <v>335</v>
      </c>
      <c r="G57" s="303" t="s">
        <v>261</v>
      </c>
      <c r="H57" s="296"/>
      <c r="I57" s="263"/>
      <c r="J57" s="265"/>
      <c r="K57" s="338" t="s">
        <v>359</v>
      </c>
      <c r="R57" s="325">
        <v>43601.0</v>
      </c>
      <c r="S57" s="315">
        <v>0.248</v>
      </c>
      <c r="T57" s="315">
        <v>0.19</v>
      </c>
      <c r="U57" s="326">
        <f>3.14*0.3125*0.3125</f>
        <v>0.306640625</v>
      </c>
    </row>
    <row r="58" ht="15.75" customHeight="1">
      <c r="B58" s="265"/>
      <c r="C58" s="342" t="s">
        <v>360</v>
      </c>
      <c r="D58" s="282">
        <f>7*3.14*POWER(F16/2,2)</f>
        <v>0.085859375</v>
      </c>
      <c r="E58" s="282" t="s">
        <v>248</v>
      </c>
      <c r="F58" s="282" t="s">
        <v>338</v>
      </c>
      <c r="G58" s="343" t="s">
        <v>261</v>
      </c>
      <c r="H58" s="296"/>
      <c r="I58" s="263"/>
      <c r="J58" s="265"/>
      <c r="K58" s="362" t="s">
        <v>361</v>
      </c>
      <c r="L58" s="363">
        <f>(3*(1/2))^2</f>
        <v>2.25</v>
      </c>
      <c r="N58" s="363" t="s">
        <v>248</v>
      </c>
      <c r="O58" s="363" t="s">
        <v>249</v>
      </c>
      <c r="P58" s="340" t="s">
        <v>322</v>
      </c>
      <c r="R58" s="325">
        <v>43532.0</v>
      </c>
      <c r="S58" s="315">
        <v>0.311</v>
      </c>
      <c r="T58" s="315">
        <v>0.3</v>
      </c>
      <c r="U58" s="326">
        <f>3.14*0.375*0.375</f>
        <v>0.4415625</v>
      </c>
    </row>
    <row r="59" ht="15.75" customHeight="1">
      <c r="B59" s="265"/>
      <c r="C59" s="342" t="s">
        <v>362</v>
      </c>
      <c r="D59" s="282">
        <f>7*3.14*POWER(F16/2,2)</f>
        <v>0.085859375</v>
      </c>
      <c r="E59" s="282" t="s">
        <v>248</v>
      </c>
      <c r="F59" s="282" t="s">
        <v>341</v>
      </c>
      <c r="G59" s="343" t="s">
        <v>261</v>
      </c>
      <c r="H59" s="296"/>
      <c r="I59" s="263"/>
      <c r="J59" s="265"/>
      <c r="K59" s="362" t="s">
        <v>363</v>
      </c>
      <c r="L59" s="363">
        <f>L58+1.5</f>
        <v>3.75</v>
      </c>
      <c r="N59" s="363" t="s">
        <v>248</v>
      </c>
      <c r="O59" s="363" t="s">
        <v>249</v>
      </c>
      <c r="P59" s="340" t="s">
        <v>322</v>
      </c>
      <c r="R59" s="364">
        <v>43467.0</v>
      </c>
      <c r="S59" s="319">
        <v>0.436</v>
      </c>
      <c r="T59" s="319">
        <v>0.6</v>
      </c>
      <c r="U59" s="365">
        <f>3.14*0.5*0.5</f>
        <v>0.785</v>
      </c>
    </row>
    <row r="60" ht="15.75" customHeight="1">
      <c r="B60" s="265"/>
      <c r="C60" s="342" t="s">
        <v>364</v>
      </c>
      <c r="D60" s="282">
        <f>7*3.14*POWER(F16/2,2)</f>
        <v>0.085859375</v>
      </c>
      <c r="E60" s="282" t="s">
        <v>248</v>
      </c>
      <c r="F60" s="282" t="s">
        <v>344</v>
      </c>
      <c r="G60" s="343" t="s">
        <v>261</v>
      </c>
      <c r="H60" s="296"/>
      <c r="I60" s="263"/>
      <c r="J60" s="265"/>
      <c r="K60" s="362" t="s">
        <v>365</v>
      </c>
      <c r="L60" s="363">
        <f>(3*(1/2))^2</f>
        <v>2.25</v>
      </c>
      <c r="N60" s="363" t="s">
        <v>248</v>
      </c>
      <c r="O60" s="363" t="s">
        <v>249</v>
      </c>
      <c r="P60" s="340" t="s">
        <v>322</v>
      </c>
      <c r="R60" s="325">
        <v>43593.0</v>
      </c>
      <c r="S60" s="315">
        <v>0.555</v>
      </c>
      <c r="T60" s="315">
        <v>0.97</v>
      </c>
      <c r="U60" s="326">
        <f>3.14*0.625*0.625</f>
        <v>1.2265625</v>
      </c>
    </row>
    <row r="61" ht="15.75" customHeight="1">
      <c r="B61" s="265"/>
      <c r="C61" s="342" t="s">
        <v>366</v>
      </c>
      <c r="D61" s="282">
        <f>7*3.14*POWER(F16/2,2)</f>
        <v>0.085859375</v>
      </c>
      <c r="E61" s="282" t="s">
        <v>248</v>
      </c>
      <c r="F61" s="282" t="s">
        <v>347</v>
      </c>
      <c r="G61" s="343" t="s">
        <v>261</v>
      </c>
      <c r="H61" s="296"/>
      <c r="I61" s="263"/>
      <c r="J61" s="265"/>
      <c r="K61" s="362" t="s">
        <v>367</v>
      </c>
      <c r="L61" s="363">
        <f>L60+2</f>
        <v>4.25</v>
      </c>
      <c r="N61" s="363" t="s">
        <v>248</v>
      </c>
      <c r="O61" s="363" t="s">
        <v>249</v>
      </c>
      <c r="P61" s="340" t="s">
        <v>322</v>
      </c>
      <c r="R61" s="325">
        <v>43528.0</v>
      </c>
      <c r="S61" s="315">
        <v>0.686</v>
      </c>
      <c r="T61" s="315">
        <v>1.48</v>
      </c>
      <c r="U61" s="326">
        <f>3.14*0.75*0.75</f>
        <v>1.76625</v>
      </c>
    </row>
    <row r="62" ht="15.75" customHeight="1">
      <c r="B62" s="265"/>
      <c r="C62" s="342" t="s">
        <v>368</v>
      </c>
      <c r="D62" s="282">
        <f>7*3.14*POWER(F16/2,2)</f>
        <v>0.085859375</v>
      </c>
      <c r="E62" s="282" t="s">
        <v>248</v>
      </c>
      <c r="F62" s="282" t="s">
        <v>350</v>
      </c>
      <c r="G62" s="343" t="s">
        <v>261</v>
      </c>
      <c r="H62" s="296"/>
      <c r="I62" s="263"/>
      <c r="K62" s="362" t="s">
        <v>369</v>
      </c>
      <c r="L62" s="366">
        <f>(2*(5/16))^2</f>
        <v>0.390625</v>
      </c>
      <c r="N62" s="363" t="s">
        <v>248</v>
      </c>
      <c r="O62" s="363" t="s">
        <v>249</v>
      </c>
      <c r="P62" s="340" t="s">
        <v>322</v>
      </c>
      <c r="R62" s="325">
        <v>43654.0</v>
      </c>
      <c r="S62" s="315">
        <v>0.811</v>
      </c>
      <c r="T62" s="315">
        <v>2.07</v>
      </c>
      <c r="U62" s="326">
        <f>3.14*0.875*0.875</f>
        <v>2.4040625</v>
      </c>
    </row>
    <row r="63" ht="15.75" customHeight="1">
      <c r="B63" s="265"/>
      <c r="C63" s="342" t="s">
        <v>370</v>
      </c>
      <c r="D63" s="282">
        <f>7*3.14*POWER(F16/2,2)</f>
        <v>0.085859375</v>
      </c>
      <c r="E63" s="282" t="s">
        <v>248</v>
      </c>
      <c r="F63" s="282" t="s">
        <v>353</v>
      </c>
      <c r="G63" s="343" t="s">
        <v>261</v>
      </c>
      <c r="H63" s="296"/>
      <c r="I63" s="263"/>
      <c r="K63" s="362" t="s">
        <v>371</v>
      </c>
      <c r="L63" s="367">
        <f>L62+1.5</f>
        <v>1.890625</v>
      </c>
      <c r="N63" s="363" t="s">
        <v>248</v>
      </c>
      <c r="O63" s="363" t="s">
        <v>249</v>
      </c>
      <c r="P63" s="340" t="s">
        <v>322</v>
      </c>
      <c r="R63" s="312">
        <v>1.0</v>
      </c>
      <c r="S63" s="315">
        <v>0.936</v>
      </c>
      <c r="T63" s="315">
        <v>2.75</v>
      </c>
      <c r="U63" s="326">
        <f>3.14</f>
        <v>3.14</v>
      </c>
    </row>
    <row r="64" ht="15.75" customHeight="1">
      <c r="B64" s="265"/>
      <c r="C64" s="275" t="s">
        <v>372</v>
      </c>
      <c r="D64" s="276">
        <f>7*3.14*POWER(F16/2,2)</f>
        <v>0.085859375</v>
      </c>
      <c r="E64" s="276" t="s">
        <v>248</v>
      </c>
      <c r="F64" s="276" t="s">
        <v>356</v>
      </c>
      <c r="G64" s="304" t="s">
        <v>261</v>
      </c>
      <c r="H64" s="296"/>
      <c r="I64" s="263"/>
      <c r="J64" s="265"/>
      <c r="K64" s="338" t="s">
        <v>373</v>
      </c>
      <c r="L64" s="263"/>
      <c r="N64" s="263"/>
      <c r="O64" s="263"/>
      <c r="P64" s="295"/>
    </row>
    <row r="65" ht="15.75" customHeight="1">
      <c r="B65" s="288"/>
      <c r="C65" s="289"/>
      <c r="D65" s="290"/>
      <c r="E65" s="290"/>
      <c r="F65" s="290"/>
      <c r="G65" s="290"/>
      <c r="H65" s="305"/>
      <c r="I65" s="263"/>
      <c r="J65" s="265"/>
      <c r="K65" s="368" t="s">
        <v>304</v>
      </c>
      <c r="L65" s="353">
        <f>L53*8</f>
        <v>34</v>
      </c>
      <c r="N65" s="353" t="s">
        <v>248</v>
      </c>
      <c r="O65" s="353" t="s">
        <v>249</v>
      </c>
      <c r="P65" s="340" t="s">
        <v>322</v>
      </c>
    </row>
    <row r="66" ht="15.75" customHeight="1">
      <c r="J66" s="265"/>
      <c r="K66" s="368" t="s">
        <v>307</v>
      </c>
      <c r="L66" s="353">
        <f>L61*8</f>
        <v>34</v>
      </c>
      <c r="N66" s="353" t="s">
        <v>248</v>
      </c>
      <c r="O66" s="353" t="s">
        <v>249</v>
      </c>
      <c r="P66" s="340" t="s">
        <v>322</v>
      </c>
    </row>
    <row r="67" ht="15.75" customHeight="1">
      <c r="J67" s="265"/>
      <c r="K67" s="368" t="s">
        <v>288</v>
      </c>
      <c r="L67" s="353">
        <f>L51*8</f>
        <v>30</v>
      </c>
      <c r="N67" s="353" t="s">
        <v>248</v>
      </c>
      <c r="O67" s="353" t="s">
        <v>249</v>
      </c>
      <c r="P67" s="340" t="s">
        <v>322</v>
      </c>
    </row>
    <row r="68" ht="15.75" customHeight="1">
      <c r="J68" s="265"/>
      <c r="K68" s="368" t="s">
        <v>325</v>
      </c>
      <c r="L68" s="353">
        <f>L59*8</f>
        <v>30</v>
      </c>
      <c r="N68" s="353" t="s">
        <v>248</v>
      </c>
      <c r="O68" s="353" t="s">
        <v>249</v>
      </c>
      <c r="P68" s="340" t="s">
        <v>322</v>
      </c>
    </row>
    <row r="69" ht="15.75" customHeight="1">
      <c r="J69" s="265"/>
      <c r="K69" s="227" t="s">
        <v>374</v>
      </c>
    </row>
    <row r="70" ht="15.75" customHeight="1">
      <c r="C70" s="295" t="s">
        <v>375</v>
      </c>
      <c r="D70" s="263"/>
      <c r="J70" s="265"/>
      <c r="K70" s="369" t="s">
        <v>304</v>
      </c>
      <c r="L70" s="370">
        <f t="shared" ref="L70:L73" si="1">L65*2</f>
        <v>68</v>
      </c>
      <c r="N70" s="363" t="s">
        <v>248</v>
      </c>
      <c r="O70" s="363" t="s">
        <v>249</v>
      </c>
      <c r="P70" s="340" t="s">
        <v>322</v>
      </c>
    </row>
    <row r="71" ht="15.75" customHeight="1">
      <c r="C71" s="118" t="s">
        <v>376</v>
      </c>
      <c r="D71" s="263">
        <f>D41/16*1.5</f>
        <v>1.1775</v>
      </c>
      <c r="J71" s="265"/>
      <c r="K71" s="369" t="s">
        <v>307</v>
      </c>
      <c r="L71" s="370">
        <f t="shared" si="1"/>
        <v>68</v>
      </c>
      <c r="N71" s="363" t="s">
        <v>248</v>
      </c>
      <c r="O71" s="363" t="s">
        <v>249</v>
      </c>
      <c r="P71" s="340" t="s">
        <v>322</v>
      </c>
    </row>
    <row r="72" ht="15.75" customHeight="1">
      <c r="C72" s="295" t="s">
        <v>377</v>
      </c>
      <c r="D72" s="263">
        <f>D45/16*1.5</f>
        <v>1.025838</v>
      </c>
      <c r="J72" s="265"/>
      <c r="K72" s="369" t="s">
        <v>288</v>
      </c>
      <c r="L72" s="370">
        <f t="shared" si="1"/>
        <v>60</v>
      </c>
      <c r="N72" s="363" t="s">
        <v>248</v>
      </c>
      <c r="O72" s="363" t="s">
        <v>249</v>
      </c>
      <c r="P72" s="340" t="s">
        <v>322</v>
      </c>
    </row>
    <row r="73" ht="15.75" customHeight="1">
      <c r="C73" s="295" t="s">
        <v>378</v>
      </c>
      <c r="D73" s="263">
        <f>D49/8*1.5</f>
        <v>7.065</v>
      </c>
      <c r="J73" s="288"/>
      <c r="K73" s="371" t="s">
        <v>325</v>
      </c>
      <c r="L73" s="372">
        <f t="shared" si="1"/>
        <v>60</v>
      </c>
      <c r="N73" s="373" t="s">
        <v>248</v>
      </c>
      <c r="O73" s="373" t="s">
        <v>249</v>
      </c>
      <c r="P73" s="340" t="s">
        <v>322</v>
      </c>
    </row>
    <row r="74" ht="15.75" customHeight="1">
      <c r="C74" s="295" t="s">
        <v>379</v>
      </c>
      <c r="D74" s="295">
        <f>1*1.5</f>
        <v>1.5</v>
      </c>
    </row>
    <row r="75" ht="15.75" customHeight="1">
      <c r="C75" s="295" t="s">
        <v>380</v>
      </c>
      <c r="D75" s="263">
        <f>SUM(D71:D74)</f>
        <v>10.768338</v>
      </c>
    </row>
    <row r="76" ht="15.75" customHeight="1"/>
    <row r="77" ht="15.75" customHeight="1">
      <c r="C77" s="118" t="s">
        <v>381</v>
      </c>
      <c r="E77" s="118" t="s">
        <v>380</v>
      </c>
      <c r="G77" s="118" t="s">
        <v>382</v>
      </c>
      <c r="I77" s="118" t="s">
        <v>383</v>
      </c>
    </row>
    <row r="78" ht="15.75" customHeight="1">
      <c r="C78" s="374" t="s">
        <v>384</v>
      </c>
      <c r="E78" s="375">
        <v>64.0</v>
      </c>
      <c r="F78" s="376" t="s">
        <v>385</v>
      </c>
      <c r="G78" s="118" t="s">
        <v>290</v>
      </c>
      <c r="I78" s="375" t="s">
        <v>386</v>
      </c>
    </row>
    <row r="79" ht="15.75" customHeight="1">
      <c r="C79" s="374" t="s">
        <v>387</v>
      </c>
      <c r="E79" s="375">
        <v>64.0</v>
      </c>
      <c r="F79" s="376" t="s">
        <v>385</v>
      </c>
      <c r="G79" s="118" t="s">
        <v>290</v>
      </c>
      <c r="I79" s="375" t="s">
        <v>386</v>
      </c>
    </row>
    <row r="80" ht="15.75" customHeight="1">
      <c r="C80" s="374" t="s">
        <v>388</v>
      </c>
      <c r="E80" s="376">
        <v>64.0</v>
      </c>
      <c r="F80" s="376" t="s">
        <v>385</v>
      </c>
      <c r="G80" s="118" t="s">
        <v>290</v>
      </c>
      <c r="I80" s="375" t="s">
        <v>389</v>
      </c>
    </row>
    <row r="81" ht="15.75" customHeight="1">
      <c r="C81" s="374" t="s">
        <v>390</v>
      </c>
      <c r="E81" s="376">
        <v>64.0</v>
      </c>
      <c r="F81" s="376" t="s">
        <v>385</v>
      </c>
      <c r="G81" s="118" t="s">
        <v>290</v>
      </c>
      <c r="I81" s="375" t="s">
        <v>389</v>
      </c>
    </row>
    <row r="82" ht="15.75" customHeight="1">
      <c r="C82" s="377" t="s">
        <v>391</v>
      </c>
      <c r="E82" s="375">
        <v>32.0</v>
      </c>
      <c r="F82" s="376"/>
      <c r="G82" s="378">
        <v>43967.0</v>
      </c>
      <c r="H82" s="379"/>
      <c r="I82" s="375" t="s">
        <v>392</v>
      </c>
    </row>
    <row r="83" ht="15.75" customHeight="1">
      <c r="C83" s="377" t="s">
        <v>393</v>
      </c>
      <c r="E83" s="375">
        <v>32.0</v>
      </c>
      <c r="F83" s="376"/>
      <c r="G83" s="378">
        <v>43967.0</v>
      </c>
      <c r="H83" s="379"/>
      <c r="I83" s="375" t="s">
        <v>392</v>
      </c>
    </row>
    <row r="84" ht="15.75" customHeight="1">
      <c r="C84" s="374" t="s">
        <v>394</v>
      </c>
      <c r="E84" s="376" t="s">
        <v>395</v>
      </c>
      <c r="F84" s="376"/>
      <c r="G84" s="379"/>
    </row>
    <row r="85" ht="15.75" customHeight="1">
      <c r="C85" s="118" t="s">
        <v>396</v>
      </c>
      <c r="E85" s="118">
        <v>64.0</v>
      </c>
      <c r="G85" s="118" t="s">
        <v>397</v>
      </c>
      <c r="I85" s="118" t="s">
        <v>398</v>
      </c>
    </row>
    <row r="86" ht="15.75" customHeight="1">
      <c r="C86" s="374" t="s">
        <v>399</v>
      </c>
      <c r="E86" s="376">
        <v>2.0</v>
      </c>
      <c r="F86" s="376" t="s">
        <v>385</v>
      </c>
      <c r="I86" s="380" t="s">
        <v>400</v>
      </c>
    </row>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9">
    <mergeCell ref="I79:L79"/>
    <mergeCell ref="I80:L80"/>
    <mergeCell ref="B5:E5"/>
    <mergeCell ref="L23:L30"/>
    <mergeCell ref="K38:P38"/>
    <mergeCell ref="C78:D78"/>
    <mergeCell ref="I78:L78"/>
    <mergeCell ref="C79:D79"/>
    <mergeCell ref="C80:D80"/>
    <mergeCell ref="C84:D84"/>
    <mergeCell ref="C86:D86"/>
    <mergeCell ref="C81:D81"/>
    <mergeCell ref="I81:L81"/>
    <mergeCell ref="C82:D82"/>
    <mergeCell ref="I82:L82"/>
    <mergeCell ref="C83:D83"/>
    <mergeCell ref="I83:L83"/>
    <mergeCell ref="G84:J84"/>
    <mergeCell ref="I86:L86"/>
  </mergeCell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0"/>
    <col customWidth="1" min="2" max="2" width="3.89"/>
    <col customWidth="1" min="3" max="3" width="19.11"/>
    <col customWidth="1" min="4" max="4" width="26.22"/>
    <col customWidth="1" min="5" max="5" width="14.0"/>
    <col customWidth="1" min="6" max="6" width="10.56"/>
    <col customWidth="1" min="7" max="7" width="10.67"/>
    <col customWidth="1" min="8" max="8" width="10.56"/>
    <col customWidth="1" min="9" max="9" width="6.56"/>
    <col customWidth="1" min="10" max="10" width="13.78"/>
    <col customWidth="1" min="11" max="11" width="24.33"/>
    <col customWidth="1" min="12" max="12" width="7.11"/>
    <col customWidth="1" min="13" max="13" width="16.33"/>
    <col customWidth="1" min="14" max="14" width="24.0"/>
    <col customWidth="1" min="15" max="29" width="10.56"/>
  </cols>
  <sheetData>
    <row r="1" ht="15.75" customHeight="1"/>
    <row r="2" ht="15.75" customHeight="1"/>
    <row r="3" ht="15.75" customHeight="1">
      <c r="B3" s="136" t="s">
        <v>401</v>
      </c>
    </row>
    <row r="4" ht="15.75" customHeight="1"/>
    <row r="5" ht="15.75" customHeight="1">
      <c r="B5" s="199" t="s">
        <v>200</v>
      </c>
      <c r="C5" s="2"/>
      <c r="D5" s="2"/>
      <c r="E5" s="2"/>
      <c r="F5" s="200"/>
      <c r="G5" s="200"/>
      <c r="H5" s="200"/>
      <c r="I5" s="200"/>
      <c r="J5" s="200"/>
      <c r="K5" s="200"/>
      <c r="L5" s="200"/>
      <c r="M5" s="201"/>
      <c r="N5" s="381"/>
    </row>
    <row r="6" ht="15.75" customHeight="1">
      <c r="B6" s="202" t="s">
        <v>201</v>
      </c>
      <c r="C6" s="203"/>
      <c r="D6" s="204"/>
      <c r="E6" s="205"/>
      <c r="F6" s="205"/>
      <c r="G6" s="205"/>
      <c r="H6" s="205"/>
      <c r="I6" s="205"/>
      <c r="J6" s="205"/>
      <c r="K6" s="205"/>
      <c r="L6" s="206"/>
      <c r="M6" s="291"/>
      <c r="N6" s="263"/>
    </row>
    <row r="7" ht="15.75" customHeight="1">
      <c r="B7" s="210"/>
      <c r="C7" s="211"/>
      <c r="D7" s="212"/>
      <c r="E7" s="213"/>
      <c r="F7" s="213"/>
      <c r="G7" s="213"/>
      <c r="H7" s="213"/>
      <c r="I7" s="213"/>
      <c r="J7" s="213"/>
      <c r="K7" s="213"/>
      <c r="M7" s="10"/>
      <c r="N7" s="225"/>
    </row>
    <row r="8" ht="15.75" customHeight="1">
      <c r="B8" s="218"/>
      <c r="C8" s="382" t="s">
        <v>155</v>
      </c>
      <c r="D8" s="383" t="s">
        <v>156</v>
      </c>
      <c r="E8" s="384" t="s">
        <v>157</v>
      </c>
      <c r="F8" s="385" t="s">
        <v>205</v>
      </c>
      <c r="G8" s="384" t="s">
        <v>206</v>
      </c>
      <c r="H8" s="384" t="s">
        <v>207</v>
      </c>
      <c r="I8" s="384" t="s">
        <v>208</v>
      </c>
      <c r="J8" s="223" t="s">
        <v>270</v>
      </c>
      <c r="K8" s="224" t="s">
        <v>47</v>
      </c>
      <c r="L8" s="386" t="s">
        <v>212</v>
      </c>
      <c r="M8" s="292" t="s">
        <v>214</v>
      </c>
      <c r="N8" s="233"/>
    </row>
    <row r="9" ht="15.75" customHeight="1">
      <c r="B9" s="230"/>
      <c r="C9" s="231"/>
      <c r="D9" s="232"/>
      <c r="E9" s="233"/>
      <c r="F9" s="233"/>
      <c r="G9" s="233"/>
      <c r="H9" s="233"/>
      <c r="I9" s="224"/>
      <c r="J9" s="234"/>
      <c r="K9" s="234"/>
      <c r="L9" s="233"/>
      <c r="M9" s="293"/>
      <c r="N9" s="233"/>
    </row>
    <row r="10" ht="15.75" customHeight="1">
      <c r="B10" s="241"/>
      <c r="C10" s="381" t="s">
        <v>402</v>
      </c>
      <c r="D10" s="381" t="s">
        <v>403</v>
      </c>
      <c r="E10" s="243">
        <v>72.0</v>
      </c>
      <c r="F10" s="244">
        <v>0.196</v>
      </c>
      <c r="G10" s="243" t="s">
        <v>221</v>
      </c>
      <c r="H10" s="243">
        <v>9.0</v>
      </c>
      <c r="I10" s="243" t="s">
        <v>222</v>
      </c>
      <c r="J10" s="253" t="s">
        <v>404</v>
      </c>
      <c r="K10" s="381" t="s">
        <v>405</v>
      </c>
      <c r="L10" s="387"/>
      <c r="M10" s="388"/>
      <c r="N10" s="387"/>
    </row>
    <row r="11" ht="15.75" customHeight="1">
      <c r="B11" s="241"/>
      <c r="C11" s="381"/>
      <c r="D11" s="381"/>
      <c r="E11" s="243"/>
      <c r="F11" s="243"/>
      <c r="G11" s="243"/>
      <c r="H11" s="243"/>
      <c r="I11" s="243"/>
      <c r="J11" s="381"/>
      <c r="K11" s="381"/>
      <c r="L11" s="387"/>
      <c r="M11" s="388"/>
      <c r="N11" s="387"/>
    </row>
    <row r="12" ht="15.75" customHeight="1">
      <c r="B12" s="241"/>
      <c r="C12" s="381" t="s">
        <v>406</v>
      </c>
      <c r="D12" s="381" t="s">
        <v>407</v>
      </c>
      <c r="E12" s="243">
        <v>1.0</v>
      </c>
      <c r="F12" s="243">
        <v>0.4</v>
      </c>
      <c r="G12" s="243" t="s">
        <v>221</v>
      </c>
      <c r="H12" s="243">
        <v>9.0</v>
      </c>
      <c r="I12" s="243" t="s">
        <v>222</v>
      </c>
      <c r="J12" s="253" t="s">
        <v>404</v>
      </c>
      <c r="K12" s="389" t="s">
        <v>408</v>
      </c>
      <c r="L12" s="233"/>
      <c r="M12" s="293"/>
      <c r="N12" s="233"/>
    </row>
    <row r="13" ht="15.75" customHeight="1">
      <c r="B13" s="241"/>
      <c r="C13" s="381"/>
      <c r="D13" s="381"/>
      <c r="E13" s="243"/>
      <c r="F13" s="243"/>
      <c r="G13" s="243"/>
      <c r="H13" s="243"/>
      <c r="I13" s="243"/>
      <c r="J13" s="389"/>
      <c r="K13" s="389"/>
      <c r="L13" s="233"/>
      <c r="M13" s="293"/>
      <c r="N13" s="233"/>
    </row>
    <row r="14" ht="15.75" customHeight="1">
      <c r="B14" s="241"/>
      <c r="C14" s="381" t="s">
        <v>409</v>
      </c>
      <c r="D14" s="381" t="s">
        <v>410</v>
      </c>
      <c r="E14" s="243">
        <v>4.0</v>
      </c>
      <c r="F14" s="243">
        <v>0.196</v>
      </c>
      <c r="G14" s="243" t="s">
        <v>221</v>
      </c>
      <c r="H14" s="243">
        <v>9.0</v>
      </c>
      <c r="I14" s="243" t="s">
        <v>222</v>
      </c>
      <c r="J14" s="253" t="s">
        <v>404</v>
      </c>
      <c r="K14" s="389"/>
      <c r="L14" s="233"/>
      <c r="M14" s="293"/>
      <c r="N14" s="233"/>
    </row>
    <row r="15" ht="15.75" customHeight="1">
      <c r="B15" s="241"/>
      <c r="C15" s="381"/>
      <c r="D15" s="381"/>
      <c r="E15" s="243"/>
      <c r="F15" s="243"/>
      <c r="G15" s="243"/>
      <c r="H15" s="243"/>
      <c r="I15" s="243"/>
      <c r="J15" s="389"/>
      <c r="K15" s="389"/>
      <c r="L15" s="233"/>
      <c r="M15" s="293"/>
      <c r="N15" s="233"/>
    </row>
    <row r="16" ht="15.75" customHeight="1">
      <c r="B16" s="241"/>
      <c r="C16" s="390" t="s">
        <v>411</v>
      </c>
      <c r="D16" s="390" t="s">
        <v>412</v>
      </c>
      <c r="E16" s="244">
        <v>168.0</v>
      </c>
      <c r="F16" s="244">
        <v>0.75</v>
      </c>
      <c r="G16" s="243" t="s">
        <v>221</v>
      </c>
      <c r="H16" s="243">
        <v>9.0</v>
      </c>
      <c r="I16" s="243" t="s">
        <v>222</v>
      </c>
      <c r="J16" s="253" t="s">
        <v>404</v>
      </c>
      <c r="K16" s="390" t="s">
        <v>413</v>
      </c>
      <c r="L16" s="233"/>
      <c r="M16" s="293"/>
      <c r="N16" s="233"/>
    </row>
    <row r="17" ht="15.75" customHeight="1">
      <c r="B17" s="241"/>
      <c r="C17" s="381"/>
      <c r="D17" s="381"/>
      <c r="E17" s="243"/>
      <c r="F17" s="243"/>
      <c r="G17" s="243"/>
      <c r="H17" s="243"/>
      <c r="I17" s="243"/>
      <c r="J17" s="389"/>
      <c r="K17" s="389"/>
      <c r="L17" s="233"/>
      <c r="M17" s="293"/>
      <c r="N17" s="233"/>
    </row>
    <row r="18" ht="15.75" customHeight="1">
      <c r="B18" s="241"/>
      <c r="C18" s="381" t="s">
        <v>414</v>
      </c>
      <c r="D18" s="381" t="s">
        <v>415</v>
      </c>
      <c r="E18" s="243">
        <v>48.0</v>
      </c>
      <c r="F18" s="243">
        <v>0.38</v>
      </c>
      <c r="G18" s="243" t="s">
        <v>221</v>
      </c>
      <c r="H18" s="243">
        <v>7.0</v>
      </c>
      <c r="I18" s="243" t="s">
        <v>222</v>
      </c>
      <c r="J18" s="253" t="s">
        <v>404</v>
      </c>
      <c r="K18" s="381" t="s">
        <v>416</v>
      </c>
      <c r="L18" s="233"/>
      <c r="M18" s="293"/>
      <c r="N18" s="233"/>
    </row>
    <row r="19" ht="15.75" customHeight="1">
      <c r="B19" s="218"/>
      <c r="C19" s="262"/>
      <c r="D19" s="263"/>
      <c r="E19" s="114"/>
      <c r="F19" s="114"/>
      <c r="G19" s="114"/>
      <c r="H19" s="114"/>
      <c r="I19" s="243"/>
      <c r="J19" s="262"/>
      <c r="K19" s="262"/>
      <c r="L19" s="233"/>
      <c r="M19" s="293"/>
      <c r="N19" s="233"/>
    </row>
    <row r="20" ht="15.75" customHeight="1">
      <c r="B20" s="218"/>
      <c r="C20" s="391" t="s">
        <v>155</v>
      </c>
      <c r="D20" s="392" t="s">
        <v>156</v>
      </c>
      <c r="E20" s="393" t="s">
        <v>157</v>
      </c>
      <c r="G20" s="392" t="s">
        <v>208</v>
      </c>
      <c r="H20" s="394"/>
      <c r="I20" s="395"/>
      <c r="J20" s="394"/>
      <c r="K20" s="396" t="s">
        <v>47</v>
      </c>
      <c r="L20" s="397"/>
      <c r="M20" s="293"/>
      <c r="N20" s="233"/>
    </row>
    <row r="21" ht="15.75" customHeight="1">
      <c r="B21" s="218"/>
      <c r="C21" s="398" t="s">
        <v>417</v>
      </c>
      <c r="D21" s="398" t="s">
        <v>418</v>
      </c>
      <c r="E21" s="399" t="s">
        <v>419</v>
      </c>
      <c r="F21" s="400"/>
      <c r="G21" s="401" t="s">
        <v>420</v>
      </c>
      <c r="H21" s="402"/>
      <c r="I21" s="403"/>
      <c r="J21" s="253" t="s">
        <v>404</v>
      </c>
      <c r="K21" s="109" t="s">
        <v>421</v>
      </c>
      <c r="L21" s="397"/>
      <c r="M21" s="293"/>
      <c r="N21" s="233"/>
    </row>
    <row r="22" ht="15.75" customHeight="1">
      <c r="B22" s="218"/>
      <c r="C22" s="398" t="s">
        <v>422</v>
      </c>
      <c r="D22" s="398" t="s">
        <v>423</v>
      </c>
      <c r="E22" s="399" t="s">
        <v>424</v>
      </c>
      <c r="F22" s="400"/>
      <c r="G22" s="401" t="s">
        <v>420</v>
      </c>
      <c r="H22" s="402"/>
      <c r="I22" s="403"/>
      <c r="J22" s="253" t="s">
        <v>404</v>
      </c>
      <c r="K22" s="109" t="s">
        <v>421</v>
      </c>
      <c r="L22" s="397"/>
      <c r="M22" s="293"/>
      <c r="N22" s="233"/>
    </row>
    <row r="23" ht="15.75" customHeight="1">
      <c r="B23" s="218"/>
      <c r="C23" s="398" t="s">
        <v>425</v>
      </c>
      <c r="D23" s="398" t="s">
        <v>426</v>
      </c>
      <c r="E23" s="399" t="s">
        <v>424</v>
      </c>
      <c r="F23" s="400"/>
      <c r="G23" s="401" t="s">
        <v>420</v>
      </c>
      <c r="H23" s="402"/>
      <c r="I23" s="403"/>
      <c r="J23" s="253" t="s">
        <v>404</v>
      </c>
      <c r="K23" s="109" t="s">
        <v>421</v>
      </c>
      <c r="L23" s="397"/>
      <c r="M23" s="293"/>
      <c r="N23" s="233"/>
    </row>
    <row r="24" ht="15.75" customHeight="1">
      <c r="B24" s="218"/>
      <c r="C24" s="398" t="s">
        <v>427</v>
      </c>
      <c r="D24" s="398" t="s">
        <v>428</v>
      </c>
      <c r="E24" s="404" t="s">
        <v>429</v>
      </c>
      <c r="F24" s="400"/>
      <c r="G24" s="401" t="s">
        <v>420</v>
      </c>
      <c r="H24" s="402"/>
      <c r="I24" s="403"/>
      <c r="J24" s="253" t="s">
        <v>404</v>
      </c>
      <c r="K24" s="405" t="s">
        <v>430</v>
      </c>
      <c r="L24" s="397"/>
      <c r="M24" s="293"/>
      <c r="N24" s="233"/>
    </row>
    <row r="25" ht="15.75" customHeight="1">
      <c r="B25" s="218"/>
      <c r="C25" s="398" t="s">
        <v>431</v>
      </c>
      <c r="D25" s="398" t="s">
        <v>432</v>
      </c>
      <c r="E25" s="406" t="s">
        <v>433</v>
      </c>
      <c r="F25" s="400"/>
      <c r="G25" s="401" t="s">
        <v>434</v>
      </c>
      <c r="H25" s="407"/>
      <c r="I25" s="403"/>
      <c r="J25" s="253" t="s">
        <v>404</v>
      </c>
      <c r="K25" s="405" t="s">
        <v>435</v>
      </c>
      <c r="L25" s="397"/>
      <c r="M25" s="293"/>
      <c r="N25" s="233"/>
    </row>
    <row r="26" ht="15.75" customHeight="1">
      <c r="B26" s="218"/>
      <c r="C26" s="398" t="s">
        <v>436</v>
      </c>
      <c r="D26" s="398" t="s">
        <v>437</v>
      </c>
      <c r="E26" s="406" t="s">
        <v>438</v>
      </c>
      <c r="F26" s="400"/>
      <c r="G26" s="401" t="s">
        <v>439</v>
      </c>
      <c r="H26" s="402"/>
      <c r="I26" s="403"/>
      <c r="J26" s="253" t="s">
        <v>404</v>
      </c>
      <c r="K26" s="408" t="s">
        <v>440</v>
      </c>
      <c r="L26" s="397"/>
      <c r="M26" s="293"/>
      <c r="N26" s="233"/>
    </row>
    <row r="27" ht="15.75" customHeight="1">
      <c r="B27" s="218"/>
      <c r="C27" s="394"/>
      <c r="D27" s="394"/>
      <c r="E27" s="394"/>
      <c r="F27" s="394"/>
      <c r="G27" s="394"/>
      <c r="H27" s="394"/>
      <c r="I27" s="395"/>
      <c r="J27" s="394"/>
      <c r="K27" s="395"/>
      <c r="L27" s="397"/>
      <c r="M27" s="293"/>
      <c r="N27" s="233"/>
    </row>
    <row r="28" ht="15.75" customHeight="1">
      <c r="B28" s="218"/>
      <c r="C28" s="394"/>
      <c r="D28" s="394"/>
      <c r="E28" s="394"/>
      <c r="F28" s="394"/>
      <c r="G28" s="394"/>
      <c r="H28" s="394"/>
      <c r="I28" s="395"/>
      <c r="J28" s="394"/>
      <c r="K28" s="395"/>
      <c r="L28" s="397"/>
      <c r="M28" s="293"/>
      <c r="N28" s="233"/>
    </row>
    <row r="29" ht="15.75" customHeight="1">
      <c r="B29" s="218"/>
      <c r="C29" s="396" t="s">
        <v>441</v>
      </c>
      <c r="D29" s="396" t="s">
        <v>156</v>
      </c>
      <c r="E29" s="396" t="s">
        <v>157</v>
      </c>
      <c r="F29" s="409" t="s">
        <v>442</v>
      </c>
      <c r="G29" s="396" t="s">
        <v>206</v>
      </c>
      <c r="H29" s="396"/>
      <c r="I29" s="396"/>
      <c r="J29" s="396"/>
      <c r="K29" s="410" t="s">
        <v>47</v>
      </c>
      <c r="L29" s="397"/>
      <c r="M29" s="293"/>
      <c r="N29" s="233"/>
    </row>
    <row r="30" ht="15.75" customHeight="1">
      <c r="B30" s="218"/>
      <c r="C30" s="408" t="s">
        <v>443</v>
      </c>
      <c r="D30" s="408" t="s">
        <v>444</v>
      </c>
      <c r="E30" s="408" t="s">
        <v>445</v>
      </c>
      <c r="F30" s="411"/>
      <c r="G30" s="408" t="s">
        <v>446</v>
      </c>
      <c r="I30" s="408"/>
      <c r="J30" s="253" t="s">
        <v>404</v>
      </c>
      <c r="K30" s="405" t="s">
        <v>447</v>
      </c>
      <c r="L30" s="397"/>
      <c r="M30" s="293"/>
      <c r="N30" s="233"/>
    </row>
    <row r="31" ht="15.75" customHeight="1">
      <c r="B31" s="218"/>
      <c r="C31" s="408" t="s">
        <v>448</v>
      </c>
      <c r="D31" s="408" t="s">
        <v>449</v>
      </c>
      <c r="E31" s="408" t="s">
        <v>445</v>
      </c>
      <c r="F31" s="411"/>
      <c r="G31" s="408" t="s">
        <v>446</v>
      </c>
      <c r="I31" s="408"/>
      <c r="J31" s="253" t="s">
        <v>404</v>
      </c>
      <c r="K31" s="405" t="s">
        <v>450</v>
      </c>
      <c r="L31" s="397"/>
      <c r="M31" s="293"/>
      <c r="N31" s="233"/>
    </row>
    <row r="32" ht="15.75" customHeight="1">
      <c r="B32" s="218"/>
      <c r="C32" s="408" t="s">
        <v>451</v>
      </c>
      <c r="D32" s="408" t="s">
        <v>452</v>
      </c>
      <c r="E32" s="408" t="s">
        <v>445</v>
      </c>
      <c r="F32" s="411"/>
      <c r="G32" s="408" t="s">
        <v>446</v>
      </c>
      <c r="I32" s="408"/>
      <c r="J32" s="253" t="s">
        <v>404</v>
      </c>
      <c r="K32" s="405" t="s">
        <v>453</v>
      </c>
      <c r="L32" s="397"/>
      <c r="M32" s="293"/>
      <c r="N32" s="233"/>
    </row>
    <row r="33" ht="15.75" customHeight="1">
      <c r="B33" s="218"/>
      <c r="C33" s="408" t="s">
        <v>454</v>
      </c>
      <c r="D33" s="408" t="s">
        <v>455</v>
      </c>
      <c r="E33" s="408" t="s">
        <v>456</v>
      </c>
      <c r="F33" s="411"/>
      <c r="G33" s="408" t="s">
        <v>446</v>
      </c>
      <c r="H33" s="405"/>
      <c r="I33" s="408"/>
      <c r="J33" s="253" t="s">
        <v>404</v>
      </c>
      <c r="K33" s="412" t="s">
        <v>457</v>
      </c>
      <c r="L33" s="397"/>
      <c r="M33" s="293"/>
      <c r="N33" s="233"/>
    </row>
    <row r="34" ht="15.75" customHeight="1">
      <c r="B34" s="218"/>
      <c r="C34" s="396"/>
      <c r="D34" s="396"/>
      <c r="E34" s="396"/>
      <c r="F34" s="413"/>
      <c r="G34" s="396"/>
      <c r="H34" s="396"/>
      <c r="I34" s="396"/>
      <c r="J34" s="396"/>
      <c r="K34" s="396"/>
      <c r="L34" s="397"/>
      <c r="M34" s="293"/>
      <c r="N34" s="233"/>
    </row>
    <row r="35" ht="15.75" customHeight="1">
      <c r="B35" s="218"/>
      <c r="C35" s="396" t="s">
        <v>458</v>
      </c>
      <c r="D35" s="396" t="s">
        <v>156</v>
      </c>
      <c r="E35" s="396" t="s">
        <v>157</v>
      </c>
      <c r="F35" s="413" t="s">
        <v>459</v>
      </c>
      <c r="G35" s="396" t="s">
        <v>206</v>
      </c>
      <c r="H35" s="396"/>
      <c r="I35" s="396"/>
      <c r="J35" s="396"/>
      <c r="K35" s="410" t="s">
        <v>47</v>
      </c>
      <c r="L35" s="397"/>
      <c r="M35" s="293"/>
      <c r="N35" s="233"/>
    </row>
    <row r="36" ht="15.75" customHeight="1">
      <c r="B36" s="218"/>
      <c r="C36" s="408" t="s">
        <v>460</v>
      </c>
      <c r="D36" s="411" t="s">
        <v>461</v>
      </c>
      <c r="E36" s="408" t="s">
        <v>462</v>
      </c>
      <c r="F36" s="411" t="s">
        <v>463</v>
      </c>
      <c r="G36" s="408" t="s">
        <v>464</v>
      </c>
      <c r="I36" s="414"/>
      <c r="J36" s="253" t="s">
        <v>404</v>
      </c>
      <c r="K36" s="405" t="s">
        <v>465</v>
      </c>
      <c r="L36" s="397"/>
      <c r="M36" s="293"/>
      <c r="N36" s="233"/>
    </row>
    <row r="37" ht="15.75" customHeight="1">
      <c r="B37" s="218"/>
      <c r="C37" s="408" t="s">
        <v>466</v>
      </c>
      <c r="D37" s="411" t="s">
        <v>467</v>
      </c>
      <c r="E37" s="408" t="s">
        <v>468</v>
      </c>
      <c r="F37" s="411" t="s">
        <v>469</v>
      </c>
      <c r="G37" s="408"/>
      <c r="H37" s="408"/>
      <c r="I37" s="408"/>
      <c r="J37" s="253" t="s">
        <v>404</v>
      </c>
      <c r="K37" s="408"/>
      <c r="L37" s="397"/>
      <c r="M37" s="293"/>
      <c r="N37" s="233"/>
    </row>
    <row r="38" ht="15.75" customHeight="1">
      <c r="B38" s="218"/>
      <c r="C38" s="396"/>
      <c r="D38" s="396"/>
      <c r="E38" s="396"/>
      <c r="F38" s="413"/>
      <c r="G38" s="396"/>
      <c r="H38" s="396"/>
      <c r="I38" s="396"/>
      <c r="J38" s="396"/>
      <c r="K38" s="396"/>
      <c r="L38" s="397"/>
      <c r="M38" s="293"/>
      <c r="N38" s="233"/>
    </row>
    <row r="39" ht="15.75" customHeight="1">
      <c r="B39" s="218"/>
      <c r="C39" s="396" t="s">
        <v>470</v>
      </c>
      <c r="D39" s="396" t="s">
        <v>156</v>
      </c>
      <c r="E39" s="396" t="s">
        <v>157</v>
      </c>
      <c r="F39" s="413" t="s">
        <v>459</v>
      </c>
      <c r="G39" s="396" t="s">
        <v>206</v>
      </c>
      <c r="H39" s="396"/>
      <c r="I39" s="396"/>
      <c r="J39" s="396"/>
      <c r="K39" s="410" t="s">
        <v>47</v>
      </c>
      <c r="L39" s="397"/>
      <c r="M39" s="293"/>
      <c r="N39" s="233"/>
    </row>
    <row r="40" ht="15.75" customHeight="1">
      <c r="B40" s="218"/>
      <c r="C40" s="408" t="s">
        <v>471</v>
      </c>
      <c r="D40" s="408" t="s">
        <v>472</v>
      </c>
      <c r="E40" s="408">
        <v>1.0</v>
      </c>
      <c r="F40" s="411" t="s">
        <v>473</v>
      </c>
      <c r="G40" s="408">
        <v>1.0</v>
      </c>
      <c r="H40" s="405"/>
      <c r="I40" s="414"/>
      <c r="J40" s="253" t="s">
        <v>404</v>
      </c>
      <c r="K40" s="415" t="s">
        <v>474</v>
      </c>
      <c r="L40" s="397"/>
      <c r="M40" s="293"/>
      <c r="N40" s="233"/>
    </row>
    <row r="41" ht="15.75" customHeight="1">
      <c r="B41" s="218"/>
      <c r="C41" s="408" t="s">
        <v>475</v>
      </c>
      <c r="D41" s="408" t="s">
        <v>476</v>
      </c>
      <c r="E41" s="408" t="s">
        <v>477</v>
      </c>
      <c r="F41" s="411" t="s">
        <v>478</v>
      </c>
      <c r="G41" s="408" t="s">
        <v>434</v>
      </c>
      <c r="I41" s="408"/>
      <c r="J41" s="253" t="s">
        <v>404</v>
      </c>
      <c r="K41" s="405" t="s">
        <v>479</v>
      </c>
      <c r="L41" s="397"/>
      <c r="M41" s="293"/>
      <c r="N41" s="233"/>
    </row>
    <row r="42" ht="15.75" customHeight="1">
      <c r="B42" s="218"/>
      <c r="C42" s="408" t="s">
        <v>480</v>
      </c>
      <c r="D42" s="408" t="s">
        <v>476</v>
      </c>
      <c r="E42" s="408" t="s">
        <v>481</v>
      </c>
      <c r="F42" s="411"/>
      <c r="G42" s="408" t="s">
        <v>482</v>
      </c>
      <c r="I42" s="408"/>
      <c r="J42" s="253" t="s">
        <v>404</v>
      </c>
      <c r="K42" s="405" t="s">
        <v>483</v>
      </c>
      <c r="L42" s="397"/>
      <c r="M42" s="293"/>
      <c r="N42" s="233"/>
    </row>
    <row r="43" ht="15.75" customHeight="1">
      <c r="B43" s="218"/>
      <c r="C43" s="396"/>
      <c r="D43" s="396"/>
      <c r="E43" s="396"/>
      <c r="F43" s="413"/>
      <c r="G43" s="396"/>
      <c r="H43" s="396"/>
      <c r="I43" s="396"/>
      <c r="J43" s="396"/>
      <c r="K43" s="396"/>
      <c r="L43" s="397"/>
      <c r="M43" s="293"/>
      <c r="N43" s="233"/>
    </row>
    <row r="44" ht="15.75" customHeight="1">
      <c r="B44" s="218"/>
      <c r="C44" s="396" t="s">
        <v>484</v>
      </c>
      <c r="D44" s="396" t="s">
        <v>156</v>
      </c>
      <c r="E44" s="396" t="s">
        <v>157</v>
      </c>
      <c r="F44" s="413" t="s">
        <v>459</v>
      </c>
      <c r="G44" s="396" t="s">
        <v>206</v>
      </c>
      <c r="H44" s="396"/>
      <c r="I44" s="396"/>
      <c r="J44" s="396"/>
      <c r="K44" s="410" t="s">
        <v>47</v>
      </c>
      <c r="L44" s="397"/>
      <c r="M44" s="293"/>
      <c r="N44" s="233"/>
    </row>
    <row r="45" ht="15.75" customHeight="1">
      <c r="B45" s="218"/>
      <c r="C45" s="408" t="s">
        <v>376</v>
      </c>
      <c r="D45" s="408"/>
      <c r="E45" s="408">
        <v>8.0</v>
      </c>
      <c r="F45" s="411"/>
      <c r="G45" s="408"/>
      <c r="I45" s="408"/>
      <c r="J45" s="253" t="s">
        <v>404</v>
      </c>
      <c r="K45" s="408" t="s">
        <v>20</v>
      </c>
      <c r="L45" s="397"/>
      <c r="M45" s="293"/>
      <c r="N45" s="233"/>
    </row>
    <row r="46" ht="15.75" customHeight="1">
      <c r="B46" s="218"/>
      <c r="C46" s="408" t="s">
        <v>485</v>
      </c>
      <c r="D46" s="408"/>
      <c r="E46" s="408">
        <v>8.0</v>
      </c>
      <c r="F46" s="411"/>
      <c r="G46" s="408"/>
      <c r="I46" s="408"/>
      <c r="J46" s="253" t="s">
        <v>404</v>
      </c>
      <c r="K46" s="408" t="s">
        <v>20</v>
      </c>
      <c r="L46" s="397"/>
      <c r="M46" s="293"/>
      <c r="N46" s="233"/>
    </row>
    <row r="47" ht="15.75" customHeight="1">
      <c r="B47" s="218"/>
      <c r="C47" s="262"/>
      <c r="D47" s="263"/>
      <c r="E47" s="114"/>
      <c r="F47" s="114"/>
      <c r="G47" s="114"/>
      <c r="H47" s="114"/>
      <c r="I47" s="243"/>
      <c r="J47" s="262"/>
      <c r="K47" s="262"/>
      <c r="L47" s="233"/>
      <c r="M47" s="293"/>
      <c r="N47" s="233"/>
    </row>
    <row r="48" ht="15.75" customHeight="1">
      <c r="B48" s="218"/>
      <c r="C48" s="262"/>
      <c r="D48" s="263"/>
      <c r="E48" s="114"/>
      <c r="F48" s="114"/>
      <c r="G48" s="114"/>
      <c r="H48" s="114"/>
      <c r="I48" s="243"/>
      <c r="J48" s="262"/>
      <c r="K48" s="262"/>
      <c r="L48" s="233"/>
      <c r="M48" s="293"/>
      <c r="N48" s="233"/>
    </row>
    <row r="49" ht="15.75" customHeight="1">
      <c r="B49" s="218"/>
      <c r="C49" s="416" t="s">
        <v>486</v>
      </c>
      <c r="L49" s="233"/>
      <c r="M49" s="293"/>
      <c r="N49" s="233"/>
    </row>
    <row r="50" ht="15.75" customHeight="1">
      <c r="B50" s="257"/>
      <c r="C50" s="258"/>
      <c r="D50" s="259"/>
      <c r="E50" s="259"/>
      <c r="F50" s="259"/>
      <c r="G50" s="259"/>
      <c r="H50" s="259"/>
      <c r="I50" s="259"/>
      <c r="J50" s="259"/>
      <c r="K50" s="259"/>
      <c r="L50" s="259"/>
      <c r="M50" s="294"/>
      <c r="N50" s="233"/>
    </row>
    <row r="51" ht="15.75" customHeight="1">
      <c r="C51" s="262"/>
      <c r="D51" s="263"/>
      <c r="E51" s="263"/>
      <c r="F51" s="263"/>
      <c r="G51" s="263"/>
      <c r="H51" s="263"/>
      <c r="I51" s="263"/>
      <c r="J51" s="263"/>
      <c r="K51" s="263"/>
      <c r="L51" s="263"/>
      <c r="M51" s="263"/>
      <c r="N51" s="263"/>
    </row>
    <row r="52" ht="15.75" customHeight="1">
      <c r="C52" s="262"/>
      <c r="D52" s="263"/>
      <c r="E52" s="263"/>
      <c r="F52" s="263"/>
      <c r="G52" s="263"/>
      <c r="H52" s="263"/>
      <c r="I52" s="263"/>
      <c r="J52" s="263"/>
      <c r="K52" s="263"/>
      <c r="L52" s="263"/>
      <c r="M52" s="263"/>
      <c r="N52" s="263"/>
    </row>
    <row r="53" ht="15.75" customHeight="1">
      <c r="B53" s="264" t="s">
        <v>242</v>
      </c>
      <c r="C53" s="206"/>
      <c r="D53" s="206"/>
      <c r="E53" s="206"/>
      <c r="F53" s="206"/>
      <c r="G53" s="206"/>
      <c r="H53" s="291"/>
      <c r="I53" s="263"/>
      <c r="J53" s="263"/>
      <c r="K53" s="263"/>
      <c r="L53" s="263"/>
      <c r="M53" s="263"/>
      <c r="N53" s="263"/>
    </row>
    <row r="54" ht="15.75" customHeight="1">
      <c r="B54" s="265"/>
      <c r="C54" s="262"/>
      <c r="D54" s="263"/>
      <c r="E54" s="263"/>
      <c r="F54" s="263"/>
      <c r="G54" s="263"/>
      <c r="H54" s="296"/>
      <c r="I54" s="263"/>
      <c r="J54" s="263"/>
      <c r="K54" s="263"/>
      <c r="L54" s="263"/>
      <c r="M54" s="263"/>
      <c r="N54" s="263"/>
    </row>
    <row r="55" ht="15.75" customHeight="1">
      <c r="B55" s="265"/>
      <c r="C55" s="417" t="s">
        <v>243</v>
      </c>
      <c r="D55" s="418" t="s">
        <v>244</v>
      </c>
      <c r="E55" s="418" t="s">
        <v>206</v>
      </c>
      <c r="F55" s="418" t="s">
        <v>245</v>
      </c>
      <c r="G55" s="419" t="s">
        <v>246</v>
      </c>
      <c r="H55" s="296"/>
      <c r="I55" s="263"/>
      <c r="J55" s="263"/>
      <c r="K55" s="263"/>
      <c r="L55" s="263"/>
      <c r="M55" s="263"/>
      <c r="N55" s="263"/>
    </row>
    <row r="56" ht="15.75" customHeight="1">
      <c r="B56" s="265"/>
      <c r="C56" s="420" t="s">
        <v>487</v>
      </c>
      <c r="D56" s="270">
        <f>(E10/2)*3.14*POWER(F10/2,2)</f>
        <v>1.08563616</v>
      </c>
      <c r="E56" s="270" t="s">
        <v>248</v>
      </c>
      <c r="F56" s="270" t="s">
        <v>249</v>
      </c>
      <c r="G56" s="298" t="s">
        <v>488</v>
      </c>
      <c r="H56" s="296"/>
      <c r="I56" s="113"/>
      <c r="J56" s="263"/>
      <c r="K56" s="263"/>
      <c r="L56" s="263"/>
      <c r="M56" s="263"/>
      <c r="N56" s="263"/>
    </row>
    <row r="57" ht="15.75" customHeight="1">
      <c r="B57" s="265"/>
      <c r="C57" s="420" t="s">
        <v>489</v>
      </c>
      <c r="D57" s="270">
        <f>D56</f>
        <v>1.08563616</v>
      </c>
      <c r="E57" s="270" t="s">
        <v>248</v>
      </c>
      <c r="F57" s="270" t="s">
        <v>249</v>
      </c>
      <c r="G57" s="298" t="s">
        <v>490</v>
      </c>
      <c r="H57" s="296"/>
      <c r="I57" s="110"/>
      <c r="J57" s="263"/>
      <c r="K57" s="263"/>
      <c r="L57" s="263"/>
      <c r="M57" s="263"/>
      <c r="N57" s="263"/>
    </row>
    <row r="58" ht="15.75" customHeight="1">
      <c r="B58" s="265"/>
      <c r="C58" s="420" t="s">
        <v>491</v>
      </c>
      <c r="D58" s="270">
        <f>E12*3.14*POWER(F12/2,2)</f>
        <v>0.1256</v>
      </c>
      <c r="E58" s="270" t="s">
        <v>248</v>
      </c>
      <c r="F58" s="270" t="s">
        <v>249</v>
      </c>
      <c r="G58" s="298" t="s">
        <v>488</v>
      </c>
      <c r="H58" s="296"/>
      <c r="I58" s="113"/>
      <c r="J58" s="263"/>
      <c r="K58" s="263"/>
      <c r="L58" s="263"/>
      <c r="M58" s="263"/>
      <c r="N58" s="263"/>
    </row>
    <row r="59" ht="15.75" customHeight="1">
      <c r="B59" s="265"/>
      <c r="C59" s="421" t="s">
        <v>492</v>
      </c>
      <c r="D59" s="422">
        <f>E14/2*3.14*POWER(F14/2,2)</f>
        <v>0.06031312</v>
      </c>
      <c r="E59" s="270" t="s">
        <v>248</v>
      </c>
      <c r="F59" s="270" t="s">
        <v>249</v>
      </c>
      <c r="G59" s="298" t="s">
        <v>488</v>
      </c>
      <c r="H59" s="296"/>
      <c r="I59" s="113"/>
      <c r="J59" s="263"/>
      <c r="K59" s="263"/>
      <c r="L59" s="263"/>
      <c r="M59" s="263"/>
      <c r="N59" s="263"/>
    </row>
    <row r="60" ht="15.75" customHeight="1">
      <c r="B60" s="265"/>
      <c r="C60" s="421" t="s">
        <v>493</v>
      </c>
      <c r="D60" s="270">
        <f>E14/2*3.14*POWER(F14/2,2)</f>
        <v>0.06031312</v>
      </c>
      <c r="E60" s="270" t="s">
        <v>248</v>
      </c>
      <c r="F60" s="423" t="s">
        <v>249</v>
      </c>
      <c r="G60" s="424" t="s">
        <v>490</v>
      </c>
      <c r="H60" s="296"/>
      <c r="I60" s="113"/>
      <c r="J60" s="263"/>
      <c r="K60" s="263"/>
      <c r="L60" s="263"/>
      <c r="M60" s="263"/>
      <c r="N60" s="263"/>
    </row>
    <row r="61" ht="15.75" customHeight="1">
      <c r="B61" s="265"/>
      <c r="C61" s="425" t="s">
        <v>494</v>
      </c>
      <c r="D61" s="426">
        <f t="shared" ref="D61:D62" si="1">D56</f>
        <v>1.08563616</v>
      </c>
      <c r="E61" s="426" t="s">
        <v>248</v>
      </c>
      <c r="F61" s="270" t="s">
        <v>249</v>
      </c>
      <c r="G61" s="298" t="s">
        <v>488</v>
      </c>
      <c r="H61" s="296"/>
      <c r="I61" s="263"/>
      <c r="J61" s="263"/>
      <c r="K61" s="263"/>
      <c r="L61" s="263"/>
      <c r="M61" s="263"/>
      <c r="N61" s="263"/>
    </row>
    <row r="62" ht="15.75" customHeight="1">
      <c r="B62" s="265"/>
      <c r="C62" s="427" t="s">
        <v>495</v>
      </c>
      <c r="D62" s="423">
        <f t="shared" si="1"/>
        <v>1.08563616</v>
      </c>
      <c r="E62" s="423" t="s">
        <v>248</v>
      </c>
      <c r="F62" s="423" t="s">
        <v>249</v>
      </c>
      <c r="G62" s="424" t="s">
        <v>490</v>
      </c>
      <c r="H62" s="296"/>
      <c r="I62" s="263"/>
      <c r="J62" s="263"/>
      <c r="K62" s="263"/>
      <c r="L62" s="263"/>
      <c r="M62" s="263"/>
      <c r="N62" s="263"/>
    </row>
    <row r="63" ht="15.75" customHeight="1">
      <c r="B63" s="265"/>
      <c r="C63" s="428" t="s">
        <v>496</v>
      </c>
      <c r="D63" s="429">
        <f>E16/2*3.14*POWER(F16/2,2)</f>
        <v>37.09125</v>
      </c>
      <c r="E63" s="430" t="s">
        <v>248</v>
      </c>
      <c r="F63" s="430" t="s">
        <v>249</v>
      </c>
      <c r="G63" s="431" t="s">
        <v>497</v>
      </c>
      <c r="H63" s="296"/>
      <c r="I63" s="263"/>
      <c r="J63" s="263"/>
      <c r="K63" s="263"/>
      <c r="L63" s="263"/>
      <c r="M63" s="263"/>
      <c r="N63" s="263"/>
    </row>
    <row r="64" ht="15.75" customHeight="1">
      <c r="B64" s="265"/>
      <c r="C64" s="428" t="s">
        <v>498</v>
      </c>
      <c r="D64" s="429">
        <f>E16/2*3.14*POWER(F16/2,2)</f>
        <v>37.09125</v>
      </c>
      <c r="E64" s="430" t="s">
        <v>248</v>
      </c>
      <c r="F64" s="430" t="s">
        <v>249</v>
      </c>
      <c r="G64" s="431" t="s">
        <v>499</v>
      </c>
      <c r="H64" s="296"/>
      <c r="I64" s="263"/>
      <c r="J64" s="263"/>
      <c r="K64" s="263"/>
      <c r="L64" s="263"/>
      <c r="M64" s="263"/>
      <c r="N64" s="263"/>
    </row>
    <row r="65" ht="15.75" customHeight="1">
      <c r="B65" s="265"/>
      <c r="C65" s="432" t="s">
        <v>500</v>
      </c>
      <c r="D65" s="433">
        <f t="shared" ref="D65:D66" si="2">D63</f>
        <v>37.09125</v>
      </c>
      <c r="E65" s="434" t="s">
        <v>248</v>
      </c>
      <c r="F65" s="434" t="s">
        <v>249</v>
      </c>
      <c r="G65" s="435" t="s">
        <v>497</v>
      </c>
      <c r="H65" s="296"/>
      <c r="I65" s="263"/>
      <c r="J65" s="263"/>
      <c r="K65" s="263"/>
      <c r="L65" s="263"/>
      <c r="M65" s="263"/>
      <c r="N65" s="263"/>
    </row>
    <row r="66" ht="15.75" customHeight="1">
      <c r="B66" s="265"/>
      <c r="C66" s="436" t="s">
        <v>501</v>
      </c>
      <c r="D66" s="437">
        <f t="shared" si="2"/>
        <v>37.09125</v>
      </c>
      <c r="E66" s="438" t="s">
        <v>248</v>
      </c>
      <c r="F66" s="438" t="s">
        <v>249</v>
      </c>
      <c r="G66" s="439" t="s">
        <v>499</v>
      </c>
      <c r="H66" s="296"/>
      <c r="I66" s="263"/>
      <c r="J66" s="263"/>
      <c r="K66" s="263"/>
      <c r="L66" s="263"/>
      <c r="M66" s="263"/>
      <c r="N66" s="263"/>
    </row>
    <row r="67" ht="15.75" customHeight="1">
      <c r="B67" s="265"/>
      <c r="C67" s="440" t="s">
        <v>502</v>
      </c>
      <c r="D67" s="441">
        <f>(E18/2)*3.14*POWER(F18/2,2)</f>
        <v>2.720496</v>
      </c>
      <c r="E67" s="441" t="s">
        <v>248</v>
      </c>
      <c r="F67" s="441" t="s">
        <v>249</v>
      </c>
      <c r="G67" s="442" t="s">
        <v>261</v>
      </c>
      <c r="H67" s="296"/>
      <c r="I67" s="263"/>
      <c r="J67" s="263"/>
      <c r="K67" s="263"/>
      <c r="L67" s="263"/>
      <c r="M67" s="263"/>
      <c r="N67" s="263"/>
    </row>
    <row r="68" ht="15.75" customHeight="1">
      <c r="B68" s="265"/>
      <c r="C68" s="443" t="s">
        <v>503</v>
      </c>
      <c r="D68" s="444">
        <f>(E18/2)*3.14*POWER(F18/2,2)</f>
        <v>2.720496</v>
      </c>
      <c r="E68" s="444" t="s">
        <v>248</v>
      </c>
      <c r="F68" s="444" t="s">
        <v>249</v>
      </c>
      <c r="G68" s="445" t="s">
        <v>261</v>
      </c>
      <c r="H68" s="296"/>
      <c r="I68" s="263"/>
      <c r="J68" s="263"/>
      <c r="K68" s="263"/>
      <c r="L68" s="263"/>
      <c r="M68" s="263"/>
      <c r="N68" s="263"/>
    </row>
    <row r="69" ht="15.75" customHeight="1">
      <c r="B69" s="288"/>
      <c r="C69" s="289"/>
      <c r="D69" s="290"/>
      <c r="E69" s="290"/>
      <c r="F69" s="290"/>
      <c r="G69" s="290"/>
      <c r="H69" s="305"/>
      <c r="I69" s="263"/>
      <c r="J69" s="263"/>
      <c r="K69" s="263"/>
      <c r="L69" s="263"/>
      <c r="M69" s="263"/>
      <c r="N69" s="263"/>
    </row>
    <row r="70" ht="15.75" customHeight="1">
      <c r="C70" s="262"/>
      <c r="D70" s="263"/>
      <c r="E70" s="263"/>
      <c r="F70" s="263"/>
      <c r="G70" s="263"/>
      <c r="H70" s="263"/>
      <c r="I70" s="263"/>
      <c r="J70" s="263"/>
      <c r="K70" s="263"/>
      <c r="L70" s="263"/>
      <c r="M70" s="263"/>
      <c r="N70" s="263"/>
    </row>
    <row r="71" ht="15.75" customHeight="1">
      <c r="C71" s="262"/>
      <c r="D71" s="263"/>
      <c r="E71" s="263"/>
      <c r="F71" s="263"/>
      <c r="G71" s="263"/>
      <c r="H71" s="263"/>
      <c r="I71" s="263"/>
      <c r="J71" s="263"/>
      <c r="K71" s="263"/>
      <c r="L71" s="263"/>
      <c r="M71" s="263"/>
      <c r="N71" s="263"/>
    </row>
    <row r="72" ht="15.75" customHeight="1">
      <c r="C72" s="446"/>
      <c r="D72" s="446"/>
      <c r="E72" s="446"/>
      <c r="F72" s="446"/>
      <c r="G72" s="446"/>
    </row>
    <row r="73" ht="15.75" customHeight="1">
      <c r="B73" s="306"/>
      <c r="C73" s="447" t="s">
        <v>379</v>
      </c>
      <c r="D73" s="448"/>
      <c r="E73" s="448"/>
      <c r="F73" s="448"/>
      <c r="G73" s="448"/>
      <c r="H73" s="307"/>
      <c r="I73" s="307"/>
      <c r="J73" s="307"/>
      <c r="K73" s="449"/>
    </row>
    <row r="74" ht="15.75" customHeight="1">
      <c r="B74" s="254"/>
      <c r="C74" s="394"/>
      <c r="D74" s="394"/>
      <c r="E74" s="394"/>
      <c r="F74" s="394"/>
      <c r="G74" s="394"/>
      <c r="K74" s="128"/>
    </row>
    <row r="75" ht="15.75" customHeight="1">
      <c r="B75" s="254"/>
      <c r="C75" s="450" t="s">
        <v>155</v>
      </c>
      <c r="D75" s="450" t="s">
        <v>156</v>
      </c>
      <c r="E75" s="451" t="s">
        <v>504</v>
      </c>
      <c r="F75" s="451" t="s">
        <v>208</v>
      </c>
      <c r="G75" s="450" t="s">
        <v>47</v>
      </c>
      <c r="K75" s="128"/>
    </row>
    <row r="76" ht="15.75" customHeight="1">
      <c r="B76" s="254"/>
      <c r="C76" s="394"/>
      <c r="D76" s="394"/>
      <c r="E76" s="394"/>
      <c r="F76" s="394"/>
      <c r="G76" s="394"/>
      <c r="K76" s="128"/>
    </row>
    <row r="77" ht="15.75" customHeight="1">
      <c r="B77" s="254"/>
      <c r="C77" s="394" t="s">
        <v>505</v>
      </c>
      <c r="D77" s="394" t="s">
        <v>506</v>
      </c>
      <c r="E77" s="394">
        <f>4.7*2</f>
        <v>9.4</v>
      </c>
      <c r="F77" s="394" t="s">
        <v>507</v>
      </c>
      <c r="G77" s="394" t="s">
        <v>508</v>
      </c>
      <c r="K77" s="128"/>
    </row>
    <row r="78" ht="15.75" customHeight="1">
      <c r="B78" s="254"/>
      <c r="C78" s="394" t="s">
        <v>509</v>
      </c>
      <c r="D78" s="394" t="s">
        <v>510</v>
      </c>
      <c r="E78" s="394" t="s">
        <v>20</v>
      </c>
      <c r="F78" s="394"/>
      <c r="G78" s="394" t="s">
        <v>511</v>
      </c>
      <c r="K78" s="128"/>
    </row>
    <row r="79" ht="15.75" customHeight="1">
      <c r="B79" s="254"/>
      <c r="C79" s="394" t="s">
        <v>512</v>
      </c>
      <c r="D79" s="394"/>
      <c r="E79" s="394" t="s">
        <v>20</v>
      </c>
      <c r="F79" s="394"/>
      <c r="G79" s="394"/>
      <c r="K79" s="128"/>
    </row>
    <row r="80" ht="15.75" customHeight="1">
      <c r="B80" s="254"/>
      <c r="C80" s="394" t="s">
        <v>513</v>
      </c>
      <c r="D80" s="394" t="s">
        <v>514</v>
      </c>
      <c r="E80" s="394" t="s">
        <v>20</v>
      </c>
      <c r="F80" s="394"/>
      <c r="G80" s="394" t="s">
        <v>20</v>
      </c>
      <c r="K80" s="128"/>
    </row>
    <row r="81" ht="15.75" customHeight="1">
      <c r="B81" s="254"/>
      <c r="C81" s="394" t="s">
        <v>515</v>
      </c>
      <c r="D81" s="394"/>
      <c r="E81" s="394" t="s">
        <v>20</v>
      </c>
      <c r="F81" s="394"/>
      <c r="G81" s="394" t="s">
        <v>20</v>
      </c>
      <c r="K81" s="128"/>
    </row>
    <row r="82" ht="15.75" customHeight="1">
      <c r="B82" s="254"/>
      <c r="C82" s="394" t="s">
        <v>516</v>
      </c>
      <c r="D82" s="394"/>
      <c r="E82" s="394" t="s">
        <v>20</v>
      </c>
      <c r="F82" s="394"/>
      <c r="G82" s="394" t="s">
        <v>20</v>
      </c>
      <c r="K82" s="128"/>
    </row>
    <row r="83" ht="15.75" customHeight="1">
      <c r="B83" s="254"/>
      <c r="C83" s="394" t="s">
        <v>517</v>
      </c>
      <c r="D83" s="394"/>
      <c r="E83" s="452" t="s">
        <v>518</v>
      </c>
      <c r="F83" s="394" t="s">
        <v>519</v>
      </c>
      <c r="G83" s="394"/>
      <c r="K83" s="128"/>
    </row>
    <row r="84" ht="15.75" customHeight="1">
      <c r="B84" s="254"/>
      <c r="C84" s="394" t="s">
        <v>520</v>
      </c>
      <c r="D84" s="394"/>
      <c r="E84" s="394" t="s">
        <v>20</v>
      </c>
      <c r="F84" s="394"/>
      <c r="G84" s="394" t="s">
        <v>20</v>
      </c>
      <c r="K84" s="128"/>
    </row>
    <row r="85" ht="15.75" customHeight="1">
      <c r="B85" s="254"/>
      <c r="C85" s="394" t="s">
        <v>521</v>
      </c>
      <c r="D85" s="394"/>
      <c r="E85" s="394" t="s">
        <v>20</v>
      </c>
      <c r="F85" s="394"/>
      <c r="G85" s="394" t="s">
        <v>20</v>
      </c>
      <c r="K85" s="128"/>
    </row>
    <row r="86" ht="15.75" customHeight="1">
      <c r="B86" s="254"/>
      <c r="C86" s="394"/>
      <c r="D86" s="394"/>
      <c r="E86" s="394"/>
      <c r="F86" s="394"/>
      <c r="G86" s="394"/>
      <c r="K86" s="128"/>
    </row>
    <row r="87" ht="15.75" customHeight="1">
      <c r="B87" s="254"/>
      <c r="C87" s="453" t="s">
        <v>522</v>
      </c>
      <c r="D87" s="394"/>
      <c r="E87" s="394"/>
      <c r="F87" s="394"/>
      <c r="G87" s="394"/>
      <c r="K87" s="128"/>
    </row>
    <row r="88" ht="15.75" customHeight="1">
      <c r="B88" s="254"/>
      <c r="C88" s="394"/>
      <c r="D88" s="394"/>
      <c r="E88" s="394"/>
      <c r="F88" s="394"/>
      <c r="G88" s="394"/>
      <c r="K88" s="128"/>
    </row>
    <row r="89" ht="15.75" customHeight="1">
      <c r="B89" s="254"/>
      <c r="C89" s="450" t="s">
        <v>155</v>
      </c>
      <c r="D89" s="450" t="s">
        <v>156</v>
      </c>
      <c r="E89" s="451" t="s">
        <v>504</v>
      </c>
      <c r="F89" s="451" t="s">
        <v>208</v>
      </c>
      <c r="G89" s="450" t="s">
        <v>47</v>
      </c>
      <c r="K89" s="128"/>
    </row>
    <row r="90" ht="15.75" customHeight="1">
      <c r="B90" s="254"/>
      <c r="C90" s="394"/>
      <c r="D90" s="394"/>
      <c r="E90" s="394"/>
      <c r="F90" s="394"/>
      <c r="G90" s="394"/>
      <c r="K90" s="128"/>
    </row>
    <row r="91" ht="15.75" customHeight="1">
      <c r="B91" s="254"/>
      <c r="C91" s="394" t="s">
        <v>513</v>
      </c>
      <c r="D91" s="394" t="s">
        <v>523</v>
      </c>
      <c r="E91" s="394">
        <v>12.0</v>
      </c>
      <c r="F91" s="394" t="s">
        <v>524</v>
      </c>
      <c r="G91" s="394" t="s">
        <v>525</v>
      </c>
      <c r="K91" s="128"/>
    </row>
    <row r="92" ht="15.75" customHeight="1">
      <c r="B92" s="254"/>
      <c r="C92" s="394" t="s">
        <v>526</v>
      </c>
      <c r="D92" s="394" t="s">
        <v>527</v>
      </c>
      <c r="E92" s="394" t="s">
        <v>528</v>
      </c>
      <c r="F92" s="394"/>
      <c r="G92" s="394" t="s">
        <v>529</v>
      </c>
      <c r="K92" s="128"/>
    </row>
    <row r="93" ht="15.75" customHeight="1">
      <c r="B93" s="254"/>
      <c r="C93" s="394" t="s">
        <v>530</v>
      </c>
      <c r="D93" s="394" t="s">
        <v>531</v>
      </c>
      <c r="E93" s="394">
        <v>3.5</v>
      </c>
      <c r="F93" s="394" t="s">
        <v>532</v>
      </c>
      <c r="G93" s="394" t="s">
        <v>533</v>
      </c>
      <c r="K93" s="128"/>
    </row>
    <row r="94" ht="15.75" customHeight="1">
      <c r="B94" s="254"/>
      <c r="C94" s="394" t="s">
        <v>534</v>
      </c>
      <c r="D94" s="394" t="s">
        <v>535</v>
      </c>
      <c r="E94" s="394">
        <v>12.0</v>
      </c>
      <c r="F94" s="394"/>
      <c r="G94" s="394"/>
      <c r="K94" s="128"/>
    </row>
    <row r="95" ht="15.75" customHeight="1">
      <c r="B95" s="254"/>
      <c r="C95" s="394" t="s">
        <v>536</v>
      </c>
      <c r="D95" s="394" t="s">
        <v>537</v>
      </c>
      <c r="E95" s="394">
        <v>2.0</v>
      </c>
      <c r="F95" s="394" t="s">
        <v>524</v>
      </c>
      <c r="G95" s="394" t="s">
        <v>538</v>
      </c>
      <c r="K95" s="128"/>
    </row>
    <row r="96" ht="15.75" customHeight="1">
      <c r="B96" s="254"/>
      <c r="C96" s="394" t="s">
        <v>530</v>
      </c>
      <c r="D96" s="394" t="s">
        <v>539</v>
      </c>
      <c r="E96" s="394">
        <v>30.0</v>
      </c>
      <c r="F96" s="394" t="s">
        <v>532</v>
      </c>
      <c r="G96" s="394" t="s">
        <v>540</v>
      </c>
      <c r="K96" s="128"/>
    </row>
    <row r="97" ht="15.75" customHeight="1">
      <c r="B97" s="454"/>
      <c r="C97" s="455" t="s">
        <v>534</v>
      </c>
      <c r="D97" s="455" t="s">
        <v>541</v>
      </c>
      <c r="E97" s="455">
        <v>2.0</v>
      </c>
      <c r="F97" s="455" t="s">
        <v>524</v>
      </c>
      <c r="G97" s="455"/>
      <c r="H97" s="456"/>
      <c r="I97" s="456"/>
      <c r="J97" s="456"/>
      <c r="K97" s="457"/>
    </row>
    <row r="98" ht="15.75" customHeight="1">
      <c r="C98" s="394"/>
      <c r="D98" s="394"/>
      <c r="E98" s="394"/>
      <c r="F98" s="394"/>
      <c r="G98" s="394"/>
    </row>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2">
    <mergeCell ref="B5:E5"/>
    <mergeCell ref="C49:K49"/>
  </mergeCells>
  <printOptions/>
  <pageMargins bottom="0.75" footer="0.0" header="0.0" left="0.7" right="0.7" top="0.75"/>
  <pageSetup orientation="landscape"/>
  <drawing r:id="rId1"/>
</worksheet>
</file>