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10" windowHeight="11160" activeTab="0"/>
  </bookViews>
  <sheets>
    <sheet name="RHIC II" sheetId="1" r:id="rId1"/>
  </sheets>
  <definedNames>
    <definedName name="_xlnm.Print_Area" localSheetId="0">'RHIC II'!$A$1:$L$37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wfischer</author>
  </authors>
  <commentList>
    <comment ref="C9" authorId="0">
      <text>
        <r>
          <rPr>
            <sz val="8"/>
            <rFont val="Tahoma"/>
            <family val="2"/>
          </rPr>
          <t>100GeV total particle energy</t>
        </r>
      </text>
    </comment>
    <comment ref="D9" authorId="0">
      <text>
        <r>
          <rPr>
            <sz val="8"/>
            <rFont val="Tahoma"/>
            <family val="2"/>
          </rPr>
          <t>250GeV total particle energy</t>
        </r>
      </text>
    </comment>
    <comment ref="G9" authorId="0">
      <text>
        <r>
          <rPr>
            <sz val="8"/>
            <rFont val="Tahoma"/>
            <family val="2"/>
          </rPr>
          <t>100GeV total particle energy</t>
        </r>
      </text>
    </comment>
    <comment ref="J9" authorId="0">
      <text>
        <r>
          <rPr>
            <sz val="8"/>
            <rFont val="Tahoma"/>
            <family val="2"/>
          </rPr>
          <t>100GeV total particle energy</t>
        </r>
      </text>
    </comment>
    <comment ref="H9" authorId="0">
      <text>
        <r>
          <rPr>
            <sz val="8"/>
            <rFont val="Tahoma"/>
            <family val="2"/>
          </rPr>
          <t xml:space="preserve">must have the same revolution frequency as the Au beam
</t>
        </r>
      </text>
    </comment>
    <comment ref="H10" authorId="0">
      <text>
        <r>
          <rPr>
            <sz val="8"/>
            <rFont val="Tahoma"/>
            <family val="2"/>
          </rPr>
          <t xml:space="preserve">must have the same revolution frequency as the Au beam
</t>
        </r>
      </text>
    </comment>
    <comment ref="G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H17" authorId="0">
      <text>
        <r>
          <rPr>
            <sz val="8"/>
            <rFont val="Tahoma"/>
            <family val="2"/>
          </rPr>
          <t>for d</t>
        </r>
      </text>
    </comment>
    <comment ref="H18" authorId="0">
      <text>
        <r>
          <rPr>
            <sz val="8"/>
            <rFont val="Tahoma"/>
            <family val="2"/>
          </rPr>
          <t xml:space="preserve">for Au
</t>
        </r>
      </text>
    </comment>
    <comment ref="I17" authorId="0">
      <text>
        <r>
          <rPr>
            <sz val="8"/>
            <rFont val="Tahoma"/>
            <family val="2"/>
          </rPr>
          <t>for p</t>
        </r>
      </text>
    </comment>
    <comment ref="I18" authorId="0">
      <text>
        <r>
          <rPr>
            <sz val="8"/>
            <rFont val="Tahoma"/>
            <family val="2"/>
          </rPr>
          <t xml:space="preserve">for Au
</t>
        </r>
      </text>
    </comment>
    <comment ref="F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H13" authorId="0">
      <text>
        <r>
          <rPr>
            <sz val="8"/>
            <rFont val="Tahoma"/>
            <family val="2"/>
          </rPr>
          <t>limited by transition instability, may get more with better tuning or very fast damper</t>
        </r>
      </text>
    </comment>
    <comment ref="L9" authorId="0">
      <text>
        <r>
          <rPr>
            <sz val="8"/>
            <rFont val="Tahoma"/>
            <family val="2"/>
          </rPr>
          <t>100GeV total particle energy</t>
        </r>
      </text>
    </comment>
    <comment ref="C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D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F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G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H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I23" authorId="0">
      <text>
        <r>
          <rPr>
            <sz val="8"/>
            <rFont val="Tahoma"/>
            <family val="2"/>
          </rPr>
          <t>reduced by 5% compared to Au to allow for cooling time at injection</t>
        </r>
      </text>
    </comment>
    <comment ref="H19" authorId="0">
      <text>
        <r>
          <rPr>
            <sz val="8"/>
            <rFont val="Tahoma"/>
            <family val="2"/>
          </rPr>
          <t>allow for difficulties with asymetric species</t>
        </r>
      </text>
    </comment>
    <comment ref="I19" authorId="0">
      <text>
        <r>
          <rPr>
            <sz val="8"/>
            <rFont val="Tahoma"/>
            <family val="2"/>
          </rPr>
          <t>allow for difficulties with asymetric species</t>
        </r>
      </text>
    </comment>
    <comment ref="F19" authorId="0">
      <text>
        <r>
          <rPr>
            <sz val="8"/>
            <rFont val="Tahoma"/>
            <family val="2"/>
          </rPr>
          <t>same as protons at 100GeV</t>
        </r>
      </text>
    </comment>
    <comment ref="G19" authorId="0">
      <text>
        <r>
          <rPr>
            <sz val="8"/>
            <rFont val="Tahoma"/>
            <family val="2"/>
          </rPr>
          <t>same as protons at 100GeV</t>
        </r>
      </text>
    </comment>
  </commentList>
</comments>
</file>

<file path=xl/sharedStrings.xml><?xml version="1.0" encoding="utf-8"?>
<sst xmlns="http://schemas.openxmlformats.org/spreadsheetml/2006/main" count="109" uniqueCount="57">
  <si>
    <t>No of bunches</t>
  </si>
  <si>
    <t>…</t>
  </si>
  <si>
    <t>b*</t>
  </si>
  <si>
    <t>m</t>
  </si>
  <si>
    <t>Peak luminosity</t>
  </si>
  <si>
    <t>Average store luminosity</t>
  </si>
  <si>
    <t>Luminosity/week</t>
  </si>
  <si>
    <t>mm mrad</t>
  </si>
  <si>
    <t>Ions/bunch, initial</t>
  </si>
  <si>
    <t>Revolution frequency</t>
  </si>
  <si>
    <t>kHz</t>
  </si>
  <si>
    <r>
      <t>10</t>
    </r>
    <r>
      <rPr>
        <vertAlign val="superscript"/>
        <sz val="10"/>
        <rFont val="Times New Roman"/>
        <family val="1"/>
      </rPr>
      <t>26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</si>
  <si>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r>
      <t>10</t>
    </r>
    <r>
      <rPr>
        <vertAlign val="superscript"/>
        <sz val="10"/>
        <rFont val="Times New Roman"/>
        <family val="1"/>
      </rPr>
      <t>9</t>
    </r>
  </si>
  <si>
    <t>%</t>
  </si>
  <si>
    <t>Average beam current/ring</t>
  </si>
  <si>
    <t>mA</t>
  </si>
  <si>
    <t>Time in store</t>
  </si>
  <si>
    <r>
      <t>10</t>
    </r>
    <r>
      <rPr>
        <vertAlign val="superscript"/>
        <sz val="10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</si>
  <si>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r>
      <t xml:space="preserve">Relativistic </t>
    </r>
    <r>
      <rPr>
        <sz val="10"/>
        <rFont val="Symbol"/>
        <family val="1"/>
      </rPr>
      <t>g</t>
    </r>
  </si>
  <si>
    <r>
      <t>pb</t>
    </r>
    <r>
      <rPr>
        <vertAlign val="superscript"/>
        <sz val="10"/>
        <rFont val="Times New Roman"/>
        <family val="1"/>
      </rPr>
      <t>-1</t>
    </r>
  </si>
  <si>
    <r>
      <t>nb</t>
    </r>
    <r>
      <rPr>
        <vertAlign val="superscript"/>
        <sz val="10"/>
        <rFont val="Times New Roman"/>
        <family val="1"/>
      </rPr>
      <t>-1</t>
    </r>
  </si>
  <si>
    <t>Charge number Z</t>
  </si>
  <si>
    <t>Mass number A</t>
  </si>
  <si>
    <t>unit</t>
  </si>
  <si>
    <r>
      <t>10</t>
    </r>
    <r>
      <rPr>
        <vertAlign val="superscript"/>
        <sz val="10"/>
        <rFont val="Times New Roman"/>
        <family val="1"/>
      </rPr>
      <t>28</t>
    </r>
    <r>
      <rPr>
        <sz val="10"/>
        <color indexed="8"/>
        <rFont val="Times New Roman"/>
        <family val="1"/>
      </rPr>
      <t xml:space="preserve"> cm</t>
    </r>
    <r>
      <rPr>
        <vertAlign val="superscript"/>
        <sz val="10"/>
        <rFont val="Times New Roman"/>
        <family val="1"/>
      </rPr>
      <t>-2</t>
    </r>
    <r>
      <rPr>
        <sz val="10"/>
        <color indexed="8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</si>
  <si>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t>Si</t>
  </si>
  <si>
    <t>Cu</t>
  </si>
  <si>
    <t>Peak / average luminosity</t>
  </si>
  <si>
    <t>Au-Au</t>
  </si>
  <si>
    <t>p-p</t>
  </si>
  <si>
    <t>d-Au</t>
  </si>
  <si>
    <t>Cu-Cu</t>
  </si>
  <si>
    <t>Au</t>
  </si>
  <si>
    <t>Si-Si</t>
  </si>
  <si>
    <t>p-Au</t>
  </si>
  <si>
    <r>
      <t>10</t>
    </r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>e</t>
    </r>
  </si>
  <si>
    <t>p</t>
  </si>
  <si>
    <t>d</t>
  </si>
  <si>
    <t>Beams</t>
  </si>
  <si>
    <t>Luminosity at one IP</t>
  </si>
  <si>
    <t>Normalised emittance, 95%, min</t>
  </si>
  <si>
    <t>Charges per bunch</t>
  </si>
  <si>
    <t>Beam-beam parameter per IP</t>
  </si>
  <si>
    <t>Classical proton radius [m]</t>
  </si>
  <si>
    <t>Luminosity/week, achieved</t>
  </si>
  <si>
    <t>Longitudinal acceptance interval</t>
  </si>
  <si>
    <t>Distance between bunches</t>
  </si>
  <si>
    <t>Minimum reduction factor</t>
  </si>
  <si>
    <t>Reduction factor due to moving collision point</t>
  </si>
  <si>
    <t>Reduction factor due to luminosity lifetime</t>
  </si>
  <si>
    <t>Can possibly run with 5mm radius offset in both beams.</t>
  </si>
  <si>
    <t>This is equivalent to a difference of about 400Hz in the rf frequencies.</t>
  </si>
  <si>
    <t>Thus, at best 100GeV/n Au could collide with 120GeV protons.</t>
  </si>
  <si>
    <t>This would still pose considerable problems for the beam and luminosity lifetime.</t>
  </si>
  <si>
    <t>Note for collisions of 250GeV p on 100GeV Au: Not possible.</t>
  </si>
  <si>
    <t>W. Fischer, T. Roser, I. Ben-Zvi, A. Fedotov, BNL C-AD, 16-Mar-2005</t>
  </si>
  <si>
    <t>Maximum Luminosity Estimates for RHIC II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</si>
</sst>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E+00"/>
    <numFmt numFmtId="171" formatCode="0.0.E+00"/>
    <numFmt numFmtId="172" formatCode="0.00.E+00"/>
    <numFmt numFmtId="173" formatCode="0.000.E+00"/>
    <numFmt numFmtId="174" formatCode="0.0000.E+00"/>
    <numFmt numFmtId="175" formatCode="0.00000.E+00"/>
    <numFmt numFmtId="176" formatCode="0.000000.E+00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E+00"/>
    <numFmt numFmtId="185" formatCode="mm/dd/yy"/>
    <numFmt numFmtId="186" formatCode="m/d/yy\ h:mm"/>
    <numFmt numFmtId="187" formatCode="m/d/yy"/>
    <numFmt numFmtId="188" formatCode="mmm\-yyyy"/>
    <numFmt numFmtId="189" formatCode="_(* #,##0.0000_);_(* \(#,##0.0000\);_(* &quot;-&quot;??_);_(@_)"/>
    <numFmt numFmtId="190" formatCode="_(* #,##0.00000_);_(* \(#,##0.00000\);_(* &quot;-&quot;??_);_(@_)"/>
    <numFmt numFmtId="191" formatCode="_(* #,##0.0000_);_(* \(#,##0.0000\);_(* &quot;-&quot;????_);_(@_)"/>
    <numFmt numFmtId="192" formatCode="_(* #,##0.000000_);_(* \(#,##0.000000\);_(* &quot;-&quot;??????_);_(@_)"/>
    <numFmt numFmtId="193" formatCode="0.0%"/>
    <numFmt numFmtId="194" formatCode="0,"/>
    <numFmt numFmtId="195" formatCode="0E+00"/>
    <numFmt numFmtId="196" formatCode="_(* #,##0.000_);_(* \(#,##0.000\);_(* &quot;-&quot;???_);_(@_)"/>
    <numFmt numFmtId="197" formatCode="0.0000E+00"/>
    <numFmt numFmtId="198" formatCode="0.000E+00"/>
    <numFmt numFmtId="199" formatCode="0.00000000"/>
    <numFmt numFmtId="200" formatCode="0.000000000000000000%"/>
  </numFmts>
  <fonts count="12"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10"/>
      <name val="Symbol"/>
      <family val="1"/>
    </font>
    <font>
      <b/>
      <sz val="10"/>
      <color indexed="9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1" fontId="0" fillId="0" borderId="0" xfId="0" applyNumberFormat="1" applyAlignment="1" quotePrefix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11" fontId="0" fillId="0" borderId="0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0" xfId="15" applyNumberFormat="1" applyBorder="1" applyAlignment="1">
      <alignment horizontal="center"/>
    </xf>
    <xf numFmtId="1" fontId="0" fillId="0" borderId="4" xfId="15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0" fillId="0" borderId="0" xfId="15" applyNumberFormat="1" applyFill="1" applyBorder="1" applyAlignment="1">
      <alignment horizontal="center"/>
    </xf>
    <xf numFmtId="1" fontId="0" fillId="0" borderId="4" xfId="15" applyNumberFormat="1" applyFill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1" xfId="15" applyNumberFormat="1" applyFill="1" applyBorder="1" applyAlignment="1">
      <alignment horizontal="center"/>
    </xf>
    <xf numFmtId="1" fontId="0" fillId="0" borderId="5" xfId="15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15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1" fontId="0" fillId="0" borderId="8" xfId="15" applyNumberFormat="1" applyFill="1" applyBorder="1" applyAlignment="1">
      <alignment horizontal="center"/>
    </xf>
    <xf numFmtId="164" fontId="0" fillId="3" borderId="2" xfId="15" applyNumberFormat="1" applyFill="1" applyBorder="1" applyAlignment="1">
      <alignment horizontal="center"/>
    </xf>
    <xf numFmtId="1" fontId="0" fillId="3" borderId="2" xfId="15" applyNumberFormat="1" applyFill="1" applyBorder="1" applyAlignment="1">
      <alignment horizontal="center"/>
    </xf>
    <xf numFmtId="1" fontId="0" fillId="3" borderId="10" xfId="15" applyNumberFormat="1" applyFill="1" applyBorder="1" applyAlignment="1">
      <alignment horizontal="center"/>
    </xf>
    <xf numFmtId="164" fontId="0" fillId="3" borderId="10" xfId="15" applyNumberFormat="1" applyFill="1" applyBorder="1" applyAlignment="1">
      <alignment horizontal="center"/>
    </xf>
    <xf numFmtId="2" fontId="0" fillId="3" borderId="10" xfId="15" applyNumberFormat="1" applyFill="1" applyBorder="1" applyAlignment="1">
      <alignment horizontal="center"/>
    </xf>
    <xf numFmtId="164" fontId="0" fillId="3" borderId="11" xfId="15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15" applyNumberFormat="1" applyAlignment="1">
      <alignment horizontal="center"/>
    </xf>
    <xf numFmtId="9" fontId="0" fillId="0" borderId="0" xfId="21" applyFont="1" applyAlignment="1">
      <alignment horizontal="center"/>
    </xf>
    <xf numFmtId="170" fontId="9" fillId="0" borderId="0" xfId="0" applyNumberFormat="1" applyFont="1" applyAlignment="1">
      <alignment/>
    </xf>
    <xf numFmtId="9" fontId="0" fillId="0" borderId="0" xfId="21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110" zoomScaleNormal="110" workbookViewId="0" topLeftCell="A1">
      <selection activeCell="A5" sqref="A5"/>
    </sheetView>
  </sheetViews>
  <sheetFormatPr defaultColWidth="9.33203125" defaultRowHeight="12.75"/>
  <cols>
    <col min="1" max="1" width="40.83203125" style="0" customWidth="1"/>
    <col min="2" max="2" width="12.83203125" style="0" customWidth="1"/>
    <col min="3" max="4" width="7.83203125" style="0" customWidth="1"/>
    <col min="5" max="5" width="18.5" style="0" customWidth="1"/>
    <col min="6" max="10" width="7.83203125" style="0" customWidth="1"/>
    <col min="11" max="11" width="12.83203125" style="0" customWidth="1"/>
    <col min="12" max="12" width="6.83203125" style="0" customWidth="1"/>
  </cols>
  <sheetData>
    <row r="1" ht="12.75">
      <c r="A1" t="s">
        <v>55</v>
      </c>
    </row>
    <row r="3" spans="1:2" ht="12.75">
      <c r="A3" t="s">
        <v>43</v>
      </c>
      <c r="B3" s="4">
        <v>1.5347E-18</v>
      </c>
    </row>
    <row r="5" ht="15.75">
      <c r="A5" s="16" t="s">
        <v>56</v>
      </c>
    </row>
    <row r="6" spans="1:12" ht="13.5" thickBot="1">
      <c r="A6" s="11" t="s">
        <v>38</v>
      </c>
      <c r="B6" s="13" t="s">
        <v>23</v>
      </c>
      <c r="C6" s="19" t="s">
        <v>36</v>
      </c>
      <c r="D6" s="19" t="s">
        <v>36</v>
      </c>
      <c r="E6" s="13" t="s">
        <v>23</v>
      </c>
      <c r="F6" s="20" t="s">
        <v>25</v>
      </c>
      <c r="G6" s="20" t="s">
        <v>26</v>
      </c>
      <c r="H6" s="19" t="s">
        <v>37</v>
      </c>
      <c r="I6" s="19" t="s">
        <v>36</v>
      </c>
      <c r="J6" s="20" t="s">
        <v>32</v>
      </c>
      <c r="K6" s="13" t="s">
        <v>23</v>
      </c>
      <c r="L6" s="20" t="s">
        <v>32</v>
      </c>
    </row>
    <row r="7" spans="1:12" ht="12.75">
      <c r="A7" s="7" t="s">
        <v>21</v>
      </c>
      <c r="B7" s="1" t="s">
        <v>1</v>
      </c>
      <c r="C7" s="21">
        <v>1</v>
      </c>
      <c r="D7" s="22">
        <v>1</v>
      </c>
      <c r="E7" s="1" t="s">
        <v>1</v>
      </c>
      <c r="F7" s="21">
        <v>14</v>
      </c>
      <c r="G7" s="44">
        <v>29</v>
      </c>
      <c r="H7" s="21">
        <v>1</v>
      </c>
      <c r="I7" s="21">
        <f>C7</f>
        <v>1</v>
      </c>
      <c r="J7" s="22">
        <v>79</v>
      </c>
      <c r="K7" s="1" t="s">
        <v>1</v>
      </c>
      <c r="L7" s="22">
        <v>79</v>
      </c>
    </row>
    <row r="8" spans="1:12" ht="12.75">
      <c r="A8" s="7" t="s">
        <v>22</v>
      </c>
      <c r="B8" s="1" t="s">
        <v>1</v>
      </c>
      <c r="C8" s="21">
        <v>1</v>
      </c>
      <c r="D8" s="22">
        <v>1</v>
      </c>
      <c r="E8" s="1" t="s">
        <v>1</v>
      </c>
      <c r="F8" s="21">
        <v>28</v>
      </c>
      <c r="G8" s="44">
        <v>63</v>
      </c>
      <c r="H8" s="21">
        <v>2</v>
      </c>
      <c r="I8" s="21">
        <f aca="true" t="shared" si="0" ref="I8:I15">C8</f>
        <v>1</v>
      </c>
      <c r="J8" s="22">
        <v>197</v>
      </c>
      <c r="K8" s="1" t="s">
        <v>1</v>
      </c>
      <c r="L8" s="22">
        <v>197</v>
      </c>
    </row>
    <row r="9" spans="1:12" ht="12.75">
      <c r="A9" t="s">
        <v>18</v>
      </c>
      <c r="B9" s="1" t="s">
        <v>1</v>
      </c>
      <c r="C9" s="21">
        <v>108.229</v>
      </c>
      <c r="D9" s="22">
        <v>270.573</v>
      </c>
      <c r="E9" s="1" t="s">
        <v>1</v>
      </c>
      <c r="F9" s="21">
        <f>G9</f>
        <v>107.502</v>
      </c>
      <c r="G9" s="44">
        <v>107.502</v>
      </c>
      <c r="H9" s="21">
        <f>J9</f>
        <v>107.4</v>
      </c>
      <c r="I9" s="21">
        <f t="shared" si="0"/>
        <v>108.229</v>
      </c>
      <c r="J9" s="22">
        <v>107.4</v>
      </c>
      <c r="K9" s="1" t="s">
        <v>1</v>
      </c>
      <c r="L9" s="22">
        <v>107.4</v>
      </c>
    </row>
    <row r="10" spans="1:12" ht="12.75">
      <c r="A10" t="s">
        <v>9</v>
      </c>
      <c r="B10" s="1" t="s">
        <v>10</v>
      </c>
      <c r="C10" s="23">
        <v>78.19295</v>
      </c>
      <c r="D10" s="24">
        <v>78.195752</v>
      </c>
      <c r="E10" s="1" t="s">
        <v>10</v>
      </c>
      <c r="F10" s="23">
        <f>G10</f>
        <v>78.192902</v>
      </c>
      <c r="G10" s="45">
        <v>78.192902</v>
      </c>
      <c r="H10" s="23">
        <f>J10</f>
        <v>78.192897</v>
      </c>
      <c r="I10" s="21">
        <f t="shared" si="0"/>
        <v>78.19295</v>
      </c>
      <c r="J10" s="24">
        <v>78.192897</v>
      </c>
      <c r="K10" s="1" t="s">
        <v>10</v>
      </c>
      <c r="L10" s="24">
        <v>78.192897</v>
      </c>
    </row>
    <row r="11" spans="1:12" ht="12.75">
      <c r="A11" s="5" t="s">
        <v>40</v>
      </c>
      <c r="B11" s="8" t="s">
        <v>7</v>
      </c>
      <c r="C11" s="21">
        <v>12</v>
      </c>
      <c r="D11" s="22">
        <v>12</v>
      </c>
      <c r="E11" s="8" t="s">
        <v>7</v>
      </c>
      <c r="F11" s="21">
        <v>12</v>
      </c>
      <c r="G11" s="44">
        <v>12</v>
      </c>
      <c r="H11" s="21">
        <v>12</v>
      </c>
      <c r="I11" s="21">
        <f t="shared" si="0"/>
        <v>12</v>
      </c>
      <c r="J11" s="22">
        <v>12</v>
      </c>
      <c r="K11" s="8" t="s">
        <v>7</v>
      </c>
      <c r="L11" s="22">
        <v>10</v>
      </c>
    </row>
    <row r="12" spans="1:12" ht="15.75">
      <c r="A12" t="s">
        <v>8</v>
      </c>
      <c r="B12" s="3" t="s">
        <v>12</v>
      </c>
      <c r="C12" s="25">
        <v>200</v>
      </c>
      <c r="D12" s="26">
        <v>200</v>
      </c>
      <c r="E12" s="3" t="s">
        <v>12</v>
      </c>
      <c r="F12" s="23">
        <f>F13/F7</f>
        <v>10.714285714285714</v>
      </c>
      <c r="G12" s="45">
        <f>G13/G7</f>
        <v>5.172413793103448</v>
      </c>
      <c r="H12" s="21">
        <f>H13/H7</f>
        <v>150</v>
      </c>
      <c r="I12" s="21">
        <f t="shared" si="0"/>
        <v>200</v>
      </c>
      <c r="J12" s="27">
        <v>1.01</v>
      </c>
      <c r="K12" s="3" t="s">
        <v>12</v>
      </c>
      <c r="L12" s="27">
        <v>1.01</v>
      </c>
    </row>
    <row r="13" spans="1:12" ht="15.75">
      <c r="A13" s="6" t="s">
        <v>41</v>
      </c>
      <c r="B13" s="3" t="s">
        <v>35</v>
      </c>
      <c r="C13" s="21">
        <f>C12*C7</f>
        <v>200</v>
      </c>
      <c r="D13" s="22">
        <f>D12*D7</f>
        <v>200</v>
      </c>
      <c r="E13" s="3" t="s">
        <v>35</v>
      </c>
      <c r="F13" s="21">
        <v>150</v>
      </c>
      <c r="G13" s="44">
        <v>150</v>
      </c>
      <c r="H13" s="21">
        <v>150</v>
      </c>
      <c r="I13" s="21">
        <f t="shared" si="0"/>
        <v>200</v>
      </c>
      <c r="J13" s="22">
        <f>J12*J7</f>
        <v>79.79</v>
      </c>
      <c r="K13" s="3" t="s">
        <v>35</v>
      </c>
      <c r="L13" s="22">
        <f>L12*L7</f>
        <v>79.79</v>
      </c>
    </row>
    <row r="14" spans="1:12" ht="12.75">
      <c r="A14" t="s">
        <v>0</v>
      </c>
      <c r="B14" s="1" t="s">
        <v>1</v>
      </c>
      <c r="C14" s="25">
        <v>110</v>
      </c>
      <c r="D14" s="26">
        <v>110</v>
      </c>
      <c r="E14" s="1" t="s">
        <v>1</v>
      </c>
      <c r="F14" s="25">
        <v>110</v>
      </c>
      <c r="G14" s="46">
        <v>110</v>
      </c>
      <c r="H14" s="21">
        <v>110</v>
      </c>
      <c r="I14" s="21">
        <f t="shared" si="0"/>
        <v>110</v>
      </c>
      <c r="J14" s="26">
        <v>110</v>
      </c>
      <c r="K14" s="1" t="s">
        <v>1</v>
      </c>
      <c r="L14" s="26">
        <v>110</v>
      </c>
    </row>
    <row r="15" spans="1:12" ht="12.75">
      <c r="A15" t="s">
        <v>14</v>
      </c>
      <c r="B15" s="4" t="s">
        <v>15</v>
      </c>
      <c r="C15" s="28">
        <f>C14*C12*1000000000*C7*0.00000000000000000016*(C10*1000)*1000</f>
        <v>275.23918399999997</v>
      </c>
      <c r="D15" s="29">
        <f>D14*D12*1000000000*D7*0.00000000000000000016*(D10*1000)*1000</f>
        <v>275.24904704</v>
      </c>
      <c r="E15" s="4" t="s">
        <v>15</v>
      </c>
      <c r="F15" s="31">
        <f>F14*F12*1000000000*F7*0.00000000000000000016*(F10*1000)*1000</f>
        <v>206.42926127999996</v>
      </c>
      <c r="G15" s="47">
        <f>G14*G12*1000000000*G7*0.00000000000000000016*(G10*1000)*1000</f>
        <v>206.42926127999996</v>
      </c>
      <c r="H15" s="31">
        <f>H14*H12*1000000000*H7*0.00000000000000000016*(H10*1000)*1000</f>
        <v>206.42924807999995</v>
      </c>
      <c r="I15" s="21">
        <f t="shared" si="0"/>
        <v>275.23918399999997</v>
      </c>
      <c r="J15" s="29">
        <f>J14*J12*1000000000*J7*0.00000000000000000016*(J10*1000)*1000</f>
        <v>109.80659802868799</v>
      </c>
      <c r="K15" s="4" t="s">
        <v>15</v>
      </c>
      <c r="L15" s="29">
        <f>L14*L12*1000000000*L7*0.00000000000000000016*(L10*1000)*1000</f>
        <v>109.80659802868799</v>
      </c>
    </row>
    <row r="16" spans="1:12" ht="13.5" thickBot="1">
      <c r="A16" s="17" t="s">
        <v>39</v>
      </c>
      <c r="B16" s="13" t="s">
        <v>23</v>
      </c>
      <c r="C16" s="13" t="s">
        <v>29</v>
      </c>
      <c r="D16" s="30" t="s">
        <v>29</v>
      </c>
      <c r="E16" s="13" t="s">
        <v>23</v>
      </c>
      <c r="F16" s="13" t="s">
        <v>33</v>
      </c>
      <c r="G16" s="48" t="s">
        <v>31</v>
      </c>
      <c r="H16" s="13" t="s">
        <v>30</v>
      </c>
      <c r="I16" s="13" t="s">
        <v>34</v>
      </c>
      <c r="J16" s="30" t="s">
        <v>28</v>
      </c>
      <c r="K16" s="13" t="s">
        <v>23</v>
      </c>
      <c r="L16" s="30" t="s">
        <v>28</v>
      </c>
    </row>
    <row r="17" spans="1:12" ht="12.75">
      <c r="A17" t="s">
        <v>42</v>
      </c>
      <c r="B17" s="1" t="s">
        <v>1</v>
      </c>
      <c r="C17" s="34">
        <f>0.0074*(C12/100)*(10/C11)</f>
        <v>0.012333333333333335</v>
      </c>
      <c r="D17" s="35">
        <f>0.0074*(D12/100)*(10/D11)</f>
        <v>0.012333333333333335</v>
      </c>
      <c r="E17" s="36" t="s">
        <v>1</v>
      </c>
      <c r="F17" s="34">
        <f>0.0074*(F12/100)*(10/F11)*F7^2/F8</f>
        <v>0.004625</v>
      </c>
      <c r="G17" s="49">
        <f>0.0074*(G12/100)*(10/G11)*G7^2/G8</f>
        <v>0.004257936507936508</v>
      </c>
      <c r="H17" s="34">
        <f>(3/2*PI())*(B3*H7*J7/H8)*(J12/J11)*100000000000000</f>
        <v>0.002404373032284956</v>
      </c>
      <c r="I17" s="34">
        <f>(3/2*PI())*(B3*I7*J7/I8)*(J12/J11)*100000000000000</f>
        <v>0.004808746064569912</v>
      </c>
      <c r="J17" s="35"/>
      <c r="K17" s="38" t="s">
        <v>1</v>
      </c>
      <c r="L17" s="35">
        <f>0.0074*(L12/100)*(10/L11)*L7^2/L8</f>
        <v>0.002367778375634518</v>
      </c>
    </row>
    <row r="18" spans="2:12" ht="12.75">
      <c r="B18" s="1"/>
      <c r="C18" s="41"/>
      <c r="D18" s="37"/>
      <c r="E18" s="42"/>
      <c r="F18" s="41"/>
      <c r="G18" s="50"/>
      <c r="H18" s="43">
        <f>(3/2*PI())*(B3*H7*J7/J8)*(H12/H11)*100000000000000</f>
        <v>0.0036252294802507253</v>
      </c>
      <c r="I18" s="43">
        <f>(3/2*PI())*(B3*I7*J7/J8)*(I12/I11)*100000000000000</f>
        <v>0.004833639307000967</v>
      </c>
      <c r="J18" s="37"/>
      <c r="K18" s="38"/>
      <c r="L18" s="37"/>
    </row>
    <row r="19" spans="1:12" ht="12.75">
      <c r="A19" s="2" t="s">
        <v>2</v>
      </c>
      <c r="B19" s="1" t="s">
        <v>3</v>
      </c>
      <c r="C19" s="23">
        <v>1</v>
      </c>
      <c r="D19" s="24">
        <v>0.497</v>
      </c>
      <c r="E19" s="1" t="s">
        <v>3</v>
      </c>
      <c r="F19" s="23">
        <v>1</v>
      </c>
      <c r="G19" s="45">
        <v>1</v>
      </c>
      <c r="H19" s="23">
        <v>2</v>
      </c>
      <c r="I19" s="23">
        <v>2</v>
      </c>
      <c r="J19" s="24"/>
      <c r="K19" s="1" t="s">
        <v>3</v>
      </c>
      <c r="L19" s="24">
        <v>0.5</v>
      </c>
    </row>
    <row r="20" spans="1:12" ht="15.75">
      <c r="A20" t="s">
        <v>4</v>
      </c>
      <c r="B20" s="4" t="s">
        <v>17</v>
      </c>
      <c r="C20" s="31">
        <f>ROUND(1E-30*(1.5/PI())*C$9*C$10*10*C14*(C12*100000000)^2/(C19*C$11*0.000001),-1)</f>
        <v>150</v>
      </c>
      <c r="D20" s="32">
        <f>ROUND(1E-30*(1.5/PI())*D$9*D$10*10*D14*(D12*100000000)^2/(D19*D$11*0.000001),-1)</f>
        <v>750</v>
      </c>
      <c r="E20" s="4" t="s">
        <v>24</v>
      </c>
      <c r="F20" s="31">
        <f>1E-30*(1.5/PI())*F$9*F$10*10*F14*(F12*1000000000)^2/(F19*F$11*0.000001)</f>
        <v>42.23409066023324</v>
      </c>
      <c r="G20" s="47">
        <f>1E-30*(1.5/PI())*G$9*G$10*10*G14*(G12*1000000000)^2/(G19*G$11*0.000001)</f>
        <v>9.842903411897407</v>
      </c>
      <c r="H20" s="31">
        <f>1E-30*(1.5/PI())*H$9*H$10*10*H14*(H12*$J12)*1000000000^2/(H19*H$11*0.000001)</f>
        <v>27.842424315720752</v>
      </c>
      <c r="I20" s="31">
        <f>1E-30*(1.5/PI())*I$9*I$10*10*I14*(I12*$J12)*1000000000^2/(I19*I$11*0.000001)</f>
        <v>37.40980488830471</v>
      </c>
      <c r="J20" s="32"/>
      <c r="K20" s="4" t="s">
        <v>11</v>
      </c>
      <c r="L20" s="32">
        <f>1E-30*(1.5/PI())*L$9*L$10*10*L14*(L12*10000000000)^2/(L19*L$11*0.000001)</f>
        <v>89.98671538840948</v>
      </c>
    </row>
    <row r="21" spans="1:12" ht="12.75">
      <c r="A21" s="6" t="s">
        <v>27</v>
      </c>
      <c r="B21" s="8" t="s">
        <v>1</v>
      </c>
      <c r="C21" s="23">
        <v>1.5</v>
      </c>
      <c r="D21" s="24">
        <v>1.5</v>
      </c>
      <c r="E21" s="8" t="s">
        <v>1</v>
      </c>
      <c r="F21" s="23">
        <v>1.3</v>
      </c>
      <c r="G21" s="45">
        <v>1.3</v>
      </c>
      <c r="H21" s="23">
        <v>1.5</v>
      </c>
      <c r="I21" s="23">
        <v>1.5</v>
      </c>
      <c r="J21" s="24"/>
      <c r="K21" s="8" t="s">
        <v>1</v>
      </c>
      <c r="L21" s="24">
        <f>90/70</f>
        <v>1.2857142857142858</v>
      </c>
    </row>
    <row r="22" spans="1:12" ht="15.75">
      <c r="A22" t="s">
        <v>5</v>
      </c>
      <c r="B22" s="18" t="s">
        <v>17</v>
      </c>
      <c r="C22" s="21">
        <f>C20/C21</f>
        <v>100</v>
      </c>
      <c r="D22" s="22">
        <f>D20/D21</f>
        <v>500</v>
      </c>
      <c r="E22" s="4" t="s">
        <v>24</v>
      </c>
      <c r="F22" s="21">
        <f>F20/F21</f>
        <v>32.48776204633326</v>
      </c>
      <c r="G22" s="44">
        <f>G20/G21</f>
        <v>7.571464162998005</v>
      </c>
      <c r="H22" s="21">
        <f>H20/H21</f>
        <v>18.5616162104805</v>
      </c>
      <c r="I22" s="21">
        <f>I20/I21</f>
        <v>24.939869925536474</v>
      </c>
      <c r="J22" s="22"/>
      <c r="K22" s="4" t="s">
        <v>11</v>
      </c>
      <c r="L22" s="22">
        <f>L20/L21</f>
        <v>69.98966752431848</v>
      </c>
    </row>
    <row r="23" spans="1:12" ht="12.75">
      <c r="A23" t="s">
        <v>16</v>
      </c>
      <c r="B23" s="4" t="s">
        <v>13</v>
      </c>
      <c r="C23" s="21">
        <v>55</v>
      </c>
      <c r="D23" s="22">
        <v>55</v>
      </c>
      <c r="E23" s="4" t="s">
        <v>13</v>
      </c>
      <c r="F23" s="21">
        <v>55</v>
      </c>
      <c r="G23" s="44">
        <v>55</v>
      </c>
      <c r="H23" s="21">
        <v>55</v>
      </c>
      <c r="I23" s="21">
        <v>55</v>
      </c>
      <c r="J23" s="22"/>
      <c r="K23" s="4" t="s">
        <v>13</v>
      </c>
      <c r="L23" s="22">
        <v>60</v>
      </c>
    </row>
    <row r="24" spans="1:12" ht="16.5" thickBot="1">
      <c r="A24" s="9" t="s">
        <v>6</v>
      </c>
      <c r="B24" s="10" t="s">
        <v>19</v>
      </c>
      <c r="C24" s="39">
        <f>0.000001*(C22/100)*168*C23*3600</f>
        <v>33.264</v>
      </c>
      <c r="D24" s="40">
        <f>0.000001*(D22/100)*168*D23*3600</f>
        <v>166.32</v>
      </c>
      <c r="E24" s="10" t="s">
        <v>20</v>
      </c>
      <c r="F24" s="39">
        <f>0.00001*(F22/100)*168*F23*3600</f>
        <v>108.06729167092296</v>
      </c>
      <c r="G24" s="51">
        <f>0.00001*(G22/100)*168*G23*3600</f>
        <v>25.185718391796566</v>
      </c>
      <c r="H24" s="39">
        <f>0.00001*(H22/100)*168*H23*3600</f>
        <v>61.74336016254235</v>
      </c>
      <c r="I24" s="39">
        <f>0.00001*(I22/100)*168*I23*3600</f>
        <v>82.95998332030452</v>
      </c>
      <c r="J24" s="33"/>
      <c r="K24" s="10" t="s">
        <v>20</v>
      </c>
      <c r="L24" s="33">
        <f>0.0001*(L22/100)*168*L23*3600/1000</f>
        <v>2.5397850551224685</v>
      </c>
    </row>
    <row r="25" spans="1:12" ht="16.5" thickBot="1">
      <c r="A25" s="14" t="s">
        <v>44</v>
      </c>
      <c r="B25" s="12" t="s">
        <v>19</v>
      </c>
      <c r="C25" s="52">
        <v>0.9</v>
      </c>
      <c r="D25" s="54"/>
      <c r="E25" s="12" t="s">
        <v>20</v>
      </c>
      <c r="F25" s="53"/>
      <c r="G25" s="57">
        <v>2.4</v>
      </c>
      <c r="H25" s="52">
        <v>4.5</v>
      </c>
      <c r="I25" s="53"/>
      <c r="J25" s="55"/>
      <c r="K25" s="12" t="s">
        <v>20</v>
      </c>
      <c r="L25" s="56">
        <v>0.16</v>
      </c>
    </row>
    <row r="27" ht="12.75">
      <c r="A27" s="15" t="s">
        <v>54</v>
      </c>
    </row>
    <row r="28" spans="1:3" ht="12.75">
      <c r="A28" t="s">
        <v>45</v>
      </c>
      <c r="B28" s="1" t="s">
        <v>3</v>
      </c>
      <c r="C28" s="58">
        <v>0.35</v>
      </c>
    </row>
    <row r="29" spans="1:3" ht="12.75">
      <c r="A29" t="s">
        <v>46</v>
      </c>
      <c r="B29" s="1" t="s">
        <v>3</v>
      </c>
      <c r="C29" s="59">
        <f>3833/120</f>
        <v>31.941666666666666</v>
      </c>
    </row>
    <row r="30" spans="1:3" ht="12.75">
      <c r="A30" t="s">
        <v>48</v>
      </c>
      <c r="B30" s="60" t="s">
        <v>1</v>
      </c>
      <c r="C30" s="62">
        <f>C28/C29</f>
        <v>0.010957474563005477</v>
      </c>
    </row>
    <row r="31" spans="1:3" ht="12.75">
      <c r="A31" t="s">
        <v>49</v>
      </c>
      <c r="B31" s="60" t="s">
        <v>1</v>
      </c>
      <c r="C31" s="62">
        <v>0.1</v>
      </c>
    </row>
    <row r="32" spans="1:3" ht="12.75">
      <c r="A32" s="15" t="s">
        <v>47</v>
      </c>
      <c r="B32" s="15"/>
      <c r="C32" s="61">
        <f>C30*C31</f>
        <v>0.0010957474563005477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53</v>
      </c>
    </row>
  </sheetData>
  <printOptions/>
  <pageMargins left="0.75" right="0.75" top="1" bottom="1" header="0.5" footer="0.5"/>
  <pageSetup fitToHeight="1" fitToWidth="1"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Wolfram Fischer</dc:creator>
  <cp:keywords/>
  <dc:description/>
  <cp:lastModifiedBy>leitch</cp:lastModifiedBy>
  <cp:lastPrinted>2005-03-18T15:37:40Z</cp:lastPrinted>
  <dcterms:created xsi:type="dcterms:W3CDTF">2002-01-26T16:16:38Z</dcterms:created>
  <dcterms:modified xsi:type="dcterms:W3CDTF">2005-03-30T17:24:37Z</dcterms:modified>
  <cp:category/>
  <cp:version/>
  <cp:contentType/>
  <cp:contentStatus/>
</cp:coreProperties>
</file>